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715"/>
  <workbookPr/>
  <mc:AlternateContent xmlns:mc="http://schemas.openxmlformats.org/markup-compatibility/2006">
    <mc:Choice Requires="x15">
      <x15ac:absPath xmlns:x15ac="http://schemas.microsoft.com/office/spreadsheetml/2010/11/ac" url="/Volumes/RICHA/PrescribedFormats/"/>
    </mc:Choice>
  </mc:AlternateContent>
  <bookViews>
    <workbookView xWindow="2640" yWindow="460" windowWidth="25520" windowHeight="12900"/>
  </bookViews>
  <sheets>
    <sheet name="Sheet1" sheetId="4" r:id="rId1"/>
    <sheet name="Sheet3"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9" i="4" l="1"/>
  <c r="I12" i="4"/>
  <c r="I15" i="4"/>
  <c r="I16" i="4"/>
  <c r="I17" i="4"/>
  <c r="I18" i="4"/>
  <c r="I19" i="4"/>
  <c r="I20" i="4"/>
  <c r="I21" i="4"/>
  <c r="I25" i="4"/>
  <c r="I27" i="4"/>
  <c r="I31" i="4"/>
  <c r="I32" i="4"/>
  <c r="I33" i="4"/>
  <c r="I34" i="4"/>
  <c r="I35" i="4"/>
  <c r="I36" i="4"/>
  <c r="I37" i="4"/>
  <c r="I38" i="4"/>
  <c r="I39" i="4"/>
  <c r="I41" i="4"/>
  <c r="I52" i="4"/>
  <c r="I54" i="4"/>
  <c r="I56" i="4"/>
  <c r="I57" i="4"/>
  <c r="I58" i="4"/>
  <c r="I59" i="4"/>
  <c r="I60" i="4"/>
  <c r="I63" i="4"/>
  <c r="I65" i="4"/>
  <c r="I66" i="4"/>
  <c r="I68" i="4"/>
  <c r="I69" i="4"/>
  <c r="I70" i="4"/>
  <c r="I72" i="4"/>
  <c r="I75" i="4"/>
  <c r="I86" i="4"/>
  <c r="I96" i="4"/>
  <c r="I120" i="4"/>
  <c r="I123" i="4"/>
  <c r="I125" i="4"/>
  <c r="I139" i="4"/>
  <c r="I141" i="4"/>
  <c r="I142" i="4"/>
  <c r="I150" i="4"/>
  <c r="I153" i="4"/>
  <c r="I156" i="4"/>
  <c r="I158" i="4"/>
  <c r="I162" i="4"/>
  <c r="I163" i="4"/>
  <c r="I165" i="4"/>
  <c r="I168" i="4"/>
  <c r="I169" i="4"/>
  <c r="I171" i="4"/>
  <c r="I172" i="4"/>
  <c r="I173" i="4"/>
  <c r="I174" i="4"/>
  <c r="I175"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2" i="4"/>
  <c r="I253" i="4"/>
  <c r="I254" i="4"/>
  <c r="I255" i="4"/>
  <c r="I256" i="4"/>
  <c r="I257" i="4"/>
  <c r="I259" i="4"/>
  <c r="I262" i="4"/>
  <c r="I270" i="4"/>
  <c r="I271" i="4"/>
  <c r="I274" i="4"/>
  <c r="I275" i="4"/>
  <c r="I276" i="4"/>
  <c r="I277" i="4"/>
  <c r="I278" i="4"/>
  <c r="I279" i="4"/>
  <c r="I281" i="4"/>
  <c r="I283" i="4"/>
  <c r="I284" i="4"/>
  <c r="I285" i="4"/>
  <c r="I287" i="4"/>
  <c r="I288" i="4"/>
  <c r="I289" i="4"/>
  <c r="I295" i="4"/>
  <c r="I296" i="4"/>
  <c r="I297" i="4"/>
  <c r="I298" i="4"/>
  <c r="I299" i="4"/>
  <c r="I301" i="4"/>
  <c r="I302" i="4"/>
  <c r="I303" i="4"/>
  <c r="I304" i="4"/>
  <c r="I305" i="4"/>
  <c r="I306" i="4"/>
  <c r="I307" i="4"/>
  <c r="I308" i="4"/>
  <c r="I309" i="4"/>
  <c r="I310" i="4"/>
  <c r="I312" i="4"/>
  <c r="I313" i="4"/>
  <c r="I315" i="4"/>
  <c r="I316" i="4"/>
  <c r="I317" i="4"/>
  <c r="I318" i="4"/>
  <c r="I319" i="4"/>
  <c r="I320" i="4"/>
  <c r="I321" i="4"/>
  <c r="I322" i="4"/>
  <c r="I323" i="4"/>
  <c r="I324" i="4"/>
  <c r="I325" i="4"/>
  <c r="I326" i="4"/>
  <c r="I327" i="4"/>
  <c r="I328" i="4"/>
  <c r="I329" i="4"/>
  <c r="I330" i="4"/>
  <c r="I333" i="4"/>
  <c r="I335" i="4"/>
  <c r="I336" i="4"/>
  <c r="I337" i="4"/>
  <c r="I338"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71" i="4"/>
  <c r="I373" i="4"/>
  <c r="I374" i="4"/>
  <c r="I376" i="4"/>
  <c r="I377" i="4"/>
  <c r="I379" i="4"/>
  <c r="I381" i="4"/>
  <c r="I382" i="4"/>
  <c r="I383" i="4"/>
  <c r="I385" i="4"/>
  <c r="I387" i="4"/>
  <c r="I388" i="4"/>
  <c r="I390" i="4"/>
  <c r="I391" i="4"/>
  <c r="I392" i="4"/>
  <c r="I393" i="4"/>
  <c r="I394" i="4"/>
  <c r="I396" i="4"/>
  <c r="I397" i="4"/>
  <c r="I400" i="4"/>
  <c r="I401" i="4"/>
  <c r="I402" i="4"/>
  <c r="I403" i="4"/>
  <c r="I404" i="4"/>
  <c r="I405" i="4"/>
  <c r="I406" i="4"/>
  <c r="I407" i="4"/>
  <c r="I408" i="4"/>
  <c r="I411" i="4"/>
  <c r="I412" i="4"/>
  <c r="I415" i="4"/>
  <c r="I416" i="4"/>
  <c r="I417" i="4"/>
  <c r="I418" i="4"/>
  <c r="I419" i="4"/>
  <c r="I420" i="4"/>
  <c r="I421" i="4"/>
  <c r="I423" i="4"/>
  <c r="I426" i="4"/>
  <c r="I428" i="4"/>
  <c r="I431" i="4"/>
  <c r="I432" i="4"/>
  <c r="I433" i="4"/>
  <c r="I434" i="4"/>
</calcChain>
</file>

<file path=xl/sharedStrings.xml><?xml version="1.0" encoding="utf-8"?>
<sst xmlns="http://schemas.openxmlformats.org/spreadsheetml/2006/main" count="2276" uniqueCount="1137">
  <si>
    <t>Parameter</t>
  </si>
  <si>
    <t>Sponsored Research Projects</t>
  </si>
  <si>
    <t>2D.FPPP</t>
  </si>
  <si>
    <t>S.No.</t>
  </si>
  <si>
    <t>Financial Year</t>
  </si>
  <si>
    <t>Name of Faculty (Principal Investigator)</t>
  </si>
  <si>
    <t>Name of the Funding agency</t>
  </si>
  <si>
    <t>Title of the Project</t>
  </si>
  <si>
    <t>Sanctioned order no.</t>
  </si>
  <si>
    <t>Sanctioned date</t>
  </si>
  <si>
    <t>Amount Received(In Rupees)</t>
  </si>
  <si>
    <t>Amount received (in words)</t>
  </si>
  <si>
    <t>2015-16</t>
  </si>
  <si>
    <t>2014-15</t>
  </si>
  <si>
    <t>2013-14</t>
  </si>
  <si>
    <t>Pilot prospective multicentriccase control study of severe pneumonia in children unde five years of age.</t>
  </si>
  <si>
    <t>A suveillance of invasive disease……………….5 years of age in india</t>
  </si>
  <si>
    <t xml:space="preserve">Prof.S.K.Das </t>
  </si>
  <si>
    <t>Prof. Shally Awasthi</t>
  </si>
  <si>
    <t xml:space="preserve">Prof. Surya Kant </t>
  </si>
  <si>
    <t>Prof. S. K. Das</t>
  </si>
  <si>
    <t xml:space="preserve">Prof. M.L.B. Bhatt </t>
  </si>
  <si>
    <t>Prof. Abhijeet Chandra</t>
  </si>
  <si>
    <t>Prof. Kirti Srivastava</t>
  </si>
  <si>
    <t>Prof. A. A. Mehdi</t>
  </si>
  <si>
    <t>Dr. Shally Awasthi</t>
  </si>
  <si>
    <t>Prof. Vinita Das</t>
  </si>
  <si>
    <t>Prof. Santosh Kumar</t>
  </si>
  <si>
    <t>Dr. Archana Kumar</t>
  </si>
  <si>
    <t>Prof. P. K. Dalal</t>
  </si>
  <si>
    <t>Prof. J. K. Trivedi</t>
  </si>
  <si>
    <t>Prof. S. N. Sankhwar</t>
  </si>
  <si>
    <t>Prof. Apul Goel</t>
  </si>
  <si>
    <t>Prof. N. S. Verma</t>
  </si>
  <si>
    <t>Foundation Merievx, France</t>
  </si>
  <si>
    <t>Prof. R. K. Garg</t>
  </si>
  <si>
    <t xml:space="preserve">Prof. M. L. B. Bhatt </t>
  </si>
  <si>
    <t>Prof. Anupam Mishra</t>
  </si>
  <si>
    <t>Prof. R. N. Srivastava</t>
  </si>
  <si>
    <r>
      <rPr>
        <b/>
        <sz val="10"/>
        <rFont val="Arial"/>
        <family val="2"/>
      </rPr>
      <t>SRF. Mr. Suraj Singh Yadav.</t>
    </r>
    <r>
      <rPr>
        <sz val="10"/>
        <rFont val="Arial"/>
        <family val="2"/>
      </rPr>
      <t xml:space="preserve"> Siginificance of serum metalloproteinase 2,4,9 levels in metabolic syndrome.</t>
    </r>
  </si>
  <si>
    <r>
      <t>Association of CYP-17 (MspA1) and Transcriptional Regulatory Region of APOE gene polymorphism with Gall bladder cancer in North Indian Population.</t>
    </r>
    <r>
      <rPr>
        <b/>
        <sz val="10"/>
        <rFont val="Arial"/>
        <family val="2"/>
      </rPr>
      <t>SRF Ship of Ms.Shipra Dwivedi</t>
    </r>
  </si>
  <si>
    <r>
      <t>High risk human papilloma Virus infection and E6/E7 m-RNA expression in Oral Squamous Cell Carcinoma and Potentially malignant Oral Lesions.</t>
    </r>
    <r>
      <rPr>
        <b/>
        <sz val="10"/>
        <rFont val="Arial"/>
        <family val="2"/>
      </rPr>
      <t xml:space="preserve"> SRF-Ms.Priyanka Shilpi(Non-Medical)</t>
    </r>
  </si>
  <si>
    <t>To assess the association between maternal proinflammatory cytokine genes and associated polymorphisms with preterm birth A case control study</t>
  </si>
  <si>
    <r>
      <t xml:space="preserve">Molecular predictive biomarkers of radioresistance in oral squamous cell…………..responsiveness to radiotherapy </t>
    </r>
    <r>
      <rPr>
        <b/>
        <sz val="10"/>
        <rFont val="Arial"/>
        <family val="2"/>
      </rPr>
      <t>SRF. Mr. Shankar Sharan Singh</t>
    </r>
  </si>
  <si>
    <r>
      <t xml:space="preserve">The pediatric nephrotic syndrome spectrum from a genetic view point. </t>
    </r>
    <r>
      <rPr>
        <b/>
        <sz val="10"/>
        <rFont val="Arial"/>
        <family val="2"/>
      </rPr>
      <t>SRF. Mr. Tabrez Jafar</t>
    </r>
  </si>
  <si>
    <r>
      <t xml:space="preserve">To assess peripherral biomarkers for diagnosis and prognosis of parkinson's syndrome. </t>
    </r>
    <r>
      <rPr>
        <b/>
        <sz val="10"/>
        <rFont val="Arial"/>
        <family val="2"/>
      </rPr>
      <t>SRF Ms. Vineeta Gupta</t>
    </r>
  </si>
  <si>
    <r>
      <t>Local expression of chemokines and macrophage infiltration Role in breast cancer metastasus.</t>
    </r>
    <r>
      <rPr>
        <b/>
        <sz val="10"/>
        <rFont val="Arial"/>
        <family val="2"/>
      </rPr>
      <t xml:space="preserve"> SRF. Brij Nath Tewari</t>
    </r>
  </si>
  <si>
    <r>
      <t xml:space="preserve">Metallo beta lactamase production in pseudomonas aeruginosa……………lower respiratory tract infection. </t>
    </r>
    <r>
      <rPr>
        <b/>
        <sz val="10"/>
        <rFont val="Arial"/>
        <family val="2"/>
      </rPr>
      <t>SRF. Ms. Shivani Saxena</t>
    </r>
  </si>
  <si>
    <r>
      <t xml:space="preserve">SRF Ms. Richa Singh </t>
    </r>
    <r>
      <rPr>
        <sz val="10"/>
        <rFont val="Arial"/>
        <family val="2"/>
      </rPr>
      <t>Prognostic Implications…..Breast Cancer:A prospective Cohort Study</t>
    </r>
  </si>
  <si>
    <r>
      <rPr>
        <b/>
        <sz val="10"/>
        <rFont val="Arial"/>
        <family val="2"/>
      </rPr>
      <t>SRF. Ms. Jaya Nigam</t>
    </r>
    <r>
      <rPr>
        <sz val="10"/>
        <rFont val="Arial"/>
        <family val="2"/>
      </rPr>
      <t>, To study the association of polymorphism in surviving gene with its expression in gall bladder cancer,</t>
    </r>
  </si>
  <si>
    <r>
      <rPr>
        <b/>
        <sz val="10"/>
        <rFont val="Arial"/>
        <family val="2"/>
      </rPr>
      <t xml:space="preserve">SRF. Ms. Qulsoom Naz </t>
    </r>
    <r>
      <rPr>
        <sz val="10"/>
        <rFont val="Arial"/>
        <family val="2"/>
      </rPr>
      <t>Alpha adducing (ADDI) and angiotensinogen (AGT) gene polymorphism in yongh Essential Hypertensive North Indians</t>
    </r>
  </si>
  <si>
    <r>
      <t xml:space="preserve">Evaluation of molecular methods </t>
    </r>
    <r>
      <rPr>
        <b/>
        <sz val="10"/>
        <rFont val="Arial"/>
        <family val="2"/>
      </rPr>
      <t>(PCR,</t>
    </r>
    <r>
      <rPr>
        <sz val="10"/>
        <rFont val="Arial"/>
        <family val="2"/>
      </rPr>
      <t xml:space="preserve"> Immunohistochemistry) against conventional methods (histopathlogy culture AFB staining in endometrial samples) and laparoscopy in detection of genital tuberculosis infertile women </t>
    </r>
    <r>
      <rPr>
        <b/>
        <sz val="10"/>
        <rFont val="Arial"/>
        <family val="2"/>
      </rPr>
      <t>( FGTB ).</t>
    </r>
  </si>
  <si>
    <r>
      <rPr>
        <b/>
        <sz val="10"/>
        <rFont val="Arial"/>
        <family val="2"/>
      </rPr>
      <t xml:space="preserve">(SRF. Mr. Prithvi Kumar Singh ) </t>
    </r>
    <r>
      <rPr>
        <sz val="10"/>
        <rFont val="Arial"/>
        <family val="2"/>
      </rPr>
      <t>Association of inflammatolory biomarker genes polymorphism for pain severity in cancer patients</t>
    </r>
  </si>
  <si>
    <r>
      <rPr>
        <b/>
        <sz val="10"/>
        <rFont val="Arial"/>
        <family val="2"/>
      </rPr>
      <t xml:space="preserve">SRF. Mr. Alok Kumar Singh </t>
    </r>
    <r>
      <rPr>
        <sz val="10"/>
        <rFont val="Arial"/>
        <family val="2"/>
      </rPr>
      <t>Serial blood brain barrier (BBB)……………antiepileptic therapy.</t>
    </r>
  </si>
  <si>
    <r>
      <rPr>
        <b/>
        <sz val="10"/>
        <rFont val="Arial"/>
        <family val="2"/>
      </rPr>
      <t>SRF. Ms. Baby Anjum</t>
    </r>
    <r>
      <rPr>
        <sz val="10"/>
        <rFont val="Arial"/>
        <family val="2"/>
      </rPr>
      <t xml:space="preserve"> " a case control study of 24 hrs…………….melatonin levels"</t>
    </r>
  </si>
  <si>
    <r>
      <rPr>
        <b/>
        <sz val="10"/>
        <rFont val="Arial"/>
        <family val="2"/>
      </rPr>
      <t>SRF. Mr. Shyam Vinay sharma '</t>
    </r>
    <r>
      <rPr>
        <sz val="10"/>
        <rFont val="Arial"/>
        <family val="2"/>
      </rPr>
      <t xml:space="preserve"> Study of autonomic and haemodynamic………………….. Lucknow city.</t>
    </r>
  </si>
  <si>
    <r>
      <rPr>
        <b/>
        <sz val="10"/>
        <rFont val="Arial"/>
        <family val="2"/>
      </rPr>
      <t xml:space="preserve">SRF. Mr. Manish Kumar Pal " </t>
    </r>
    <r>
      <rPr>
        <sz val="10"/>
        <rFont val="Arial"/>
        <family val="2"/>
      </rPr>
      <t>Micro RNA as a Biomarker……………. Overian cancer.</t>
    </r>
  </si>
  <si>
    <t>Prevalance of human parvovirus B19 and other genotypes of erythroviruses in relevant population.</t>
  </si>
  <si>
    <r>
      <t xml:space="preserve">The Circadian pattern of blood pressure and cardiovascular autonomic regulation in patients with coronary Heart disease and  effect of melatonin supplementation on it. </t>
    </r>
    <r>
      <rPr>
        <b/>
        <sz val="10"/>
        <rFont val="Arial"/>
        <family val="2"/>
      </rPr>
      <t>SRF Mr. KSHITIJ BHARDWAJ.</t>
    </r>
  </si>
  <si>
    <t>Diagnosis and epidemiology of rickettsial infection.</t>
  </si>
  <si>
    <t>Acyl stimulating protein and metabolic Risk markers etc.</t>
  </si>
  <si>
    <r>
      <t>Smad3 gene polymorphism and expression…………with knee osteoathritis.</t>
    </r>
    <r>
      <rPr>
        <b/>
        <sz val="10"/>
        <rFont val="Arial"/>
        <family val="2"/>
      </rPr>
      <t>SRF Mr. Amar Chandra Sharma</t>
    </r>
  </si>
  <si>
    <r>
      <t>Effect and associated………with controls.</t>
    </r>
    <r>
      <rPr>
        <b/>
        <sz val="10"/>
        <rFont val="Arial"/>
        <family val="2"/>
      </rPr>
      <t>SRF.Ms.Pratibha Dixit</t>
    </r>
  </si>
  <si>
    <r>
      <t xml:space="preserve">Preclinical study to evaluate the pharmacokinetics……..with poly herbal formulations in rats. </t>
    </r>
    <r>
      <rPr>
        <b/>
        <sz val="10"/>
        <rFont val="Arial"/>
        <family val="2"/>
      </rPr>
      <t>SRF Mr. Devendra Kumar.</t>
    </r>
  </si>
  <si>
    <t>SRF. Mr. Chandan Kumar.</t>
  </si>
  <si>
    <t>A Study on markerrs of dengue disease severity</t>
  </si>
  <si>
    <t>Development of a scale for brest pain and nodularit</t>
  </si>
  <si>
    <t>SRF. Mr. Rahul Shivahare</t>
  </si>
  <si>
    <t>Innate Immune response profilling of chronic obstructive pulmonary disease patients in Indian Population.</t>
  </si>
  <si>
    <t>Effect of mangiferin, citral,and comphene on lipotoxicity in STZ induced diabetic Dyslipidemia in rat.</t>
  </si>
  <si>
    <t>Association of cox-2,IL-6 and IL-10 Polymorphism on head,neak squamous cell carcinoma in Indian Population.</t>
  </si>
  <si>
    <r>
      <rPr>
        <b/>
        <sz val="10"/>
        <rFont val="Arial"/>
        <family val="2"/>
      </rPr>
      <t>SRF. Mr.Pramod Kr. Singh :</t>
    </r>
    <r>
      <rPr>
        <sz val="10"/>
        <rFont val="Arial"/>
        <family val="2"/>
      </rPr>
      <t>Role of Omega-2 fatty acid against chronic lead induced Neurotoxicity.</t>
    </r>
  </si>
  <si>
    <t>"Neurological Marifestations of dengue fever a prospective Study"</t>
  </si>
  <si>
    <t>N N M B Uttra Pradesh unit</t>
  </si>
  <si>
    <r>
      <t>Human Reproduction Research centre</t>
    </r>
    <r>
      <rPr>
        <b/>
        <sz val="10"/>
        <rFont val="Arial"/>
        <family val="2"/>
      </rPr>
      <t>(HRRC)</t>
    </r>
  </si>
  <si>
    <t xml:space="preserve">To develop a grade diagnostic viral labaratory in Uttar Pradesh </t>
  </si>
  <si>
    <r>
      <t xml:space="preserve">"A pilot study on hetersexual transmission of hepatitis B virus and Hepatitis C virus among HIV negative and positive Married couples in North india" </t>
    </r>
    <r>
      <rPr>
        <b/>
        <sz val="10"/>
        <rFont val="Arial"/>
        <family val="2"/>
      </rPr>
      <t>SRF -Ms.Neha Wal</t>
    </r>
  </si>
  <si>
    <r>
      <t xml:space="preserve">Association of single nucleotide polymorphism in……………..north indian population </t>
    </r>
    <r>
      <rPr>
        <b/>
        <sz val="10"/>
        <rFont val="Arial"/>
        <family val="2"/>
      </rPr>
      <t>(SRF Ship of Mr. Abhishek Mishra)</t>
    </r>
  </si>
  <si>
    <t>Clinical immunohistochemical and sonological assessment of Endometrial receptivity in infertile human female</t>
  </si>
  <si>
    <r>
      <t xml:space="preserve">Genetic polymorphism in androgen…………….. Prostatic hyperplasia </t>
    </r>
    <r>
      <rPr>
        <b/>
        <sz val="10"/>
        <rFont val="Arial"/>
        <family val="2"/>
      </rPr>
      <t>SRF Ship- Vimal Kumar Choubey</t>
    </r>
  </si>
  <si>
    <r>
      <t xml:space="preserve">A randomized controlled trial to observe mellitus   </t>
    </r>
    <r>
      <rPr>
        <b/>
        <sz val="10"/>
        <rFont val="Arial"/>
        <family val="2"/>
      </rPr>
      <t xml:space="preserve"> JRF. Mr. Saumya Mishra</t>
    </r>
  </si>
  <si>
    <t>Distraction Histro genesis (Ilizarov Technique) trail of a new treatment ……….Extremities in human subjects.</t>
  </si>
  <si>
    <r>
      <t>Study of the microbial pollutants absorbed on PM10in urban ambient air to identify new risk factors for respiratory health</t>
    </r>
    <r>
      <rPr>
        <b/>
        <sz val="10"/>
        <rFont val="Arial"/>
        <family val="2"/>
      </rPr>
      <t>.SRF Ms.Rita Singh</t>
    </r>
  </si>
  <si>
    <t>"Surveilance of Neonatal  ''An ICMR task force study</t>
  </si>
  <si>
    <t>To improve awareness of emergency Contraceptive pills through reorientation training of Health care providers at peripheral and its evaluation: Select Districts of Uttar Pradesh.</t>
  </si>
  <si>
    <t>Techniques and Outcome of immediate post operative active mobilization (IPAM) and conventional mobilization protocol following tendon transfer surgery for leprotic hand deformities : A prospective clinico-physiologic comparative assessment.</t>
  </si>
  <si>
    <t>Migration poverty and access to healthcare: a study on people's access and health systems responsiveness in Lucknow.</t>
  </si>
  <si>
    <r>
      <t xml:space="preserve">The effect of APO A-V and LIPC promoter gene polymorphism on Circulatiotion APO A-V level and lipoproteins in indians with and without coronary artery disease </t>
    </r>
    <r>
      <rPr>
        <b/>
        <sz val="10"/>
        <rFont val="Arial"/>
        <family val="2"/>
      </rPr>
      <t>SRF Ms.Pratima Verma</t>
    </r>
  </si>
  <si>
    <r>
      <t>SRF. Mr.S.H.M.Rizvi:</t>
    </r>
    <r>
      <rPr>
        <sz val="10"/>
        <rFont val="Arial"/>
        <family val="2"/>
      </rPr>
      <t xml:space="preserve"> To Evaluate aluminium induced unfolded protein……………in neuronal apoptosis.</t>
    </r>
  </si>
  <si>
    <r>
      <t xml:space="preserve">SRF. Ms.Shruti Agnihotri: </t>
    </r>
    <r>
      <rPr>
        <sz val="10"/>
        <rFont val="Arial"/>
        <family val="2"/>
      </rPr>
      <t>To assess the role of yoga and antioxidants in the management of bronchial Asthma.</t>
    </r>
  </si>
  <si>
    <r>
      <t xml:space="preserve">SRF. Mr. Abhishek Dubey : </t>
    </r>
    <r>
      <rPr>
        <sz val="10"/>
        <rFont val="Arial"/>
        <family val="2"/>
      </rPr>
      <t>A Randomized Prospective study to investigate efficacy and long term outcome……………………Sleep apnea (OSA).</t>
    </r>
  </si>
  <si>
    <r>
      <t xml:space="preserve">SRF. Mr. Deependra Kumar Yadav : </t>
    </r>
    <r>
      <rPr>
        <sz val="10"/>
        <rFont val="Arial"/>
        <family val="2"/>
      </rPr>
      <t>The study of Fcy receptor genes polymorphism in patients of primary Immune Thrombocytopenia (ITP).</t>
    </r>
  </si>
  <si>
    <r>
      <t xml:space="preserve">SRF. Ms. Arshiya Parveen : </t>
    </r>
    <r>
      <rPr>
        <sz val="10"/>
        <rFont val="Arial"/>
        <family val="2"/>
      </rPr>
      <t>Effect of manganese of ER stress and unfolded Protien response …………………..EIF2A in Primary astrocyte Cells.</t>
    </r>
  </si>
  <si>
    <r>
      <t xml:space="preserve">To Study the effect of Pro -  inflammatary ……………….…….…………...osteoarthritic modal.      </t>
    </r>
    <r>
      <rPr>
        <b/>
        <sz val="10"/>
        <rFont val="Arial"/>
        <family val="2"/>
      </rPr>
      <t>SRF-Ms. Manju Singh</t>
    </r>
  </si>
  <si>
    <r>
      <rPr>
        <b/>
        <sz val="10"/>
        <rFont val="Arial"/>
        <family val="2"/>
      </rPr>
      <t>SRF-Ms Archana Mishra</t>
    </r>
    <r>
      <rPr>
        <sz val="10"/>
        <rFont val="Arial"/>
        <family val="2"/>
      </rPr>
      <t>: Effect of curcumin on IGF…………treated rats.</t>
    </r>
  </si>
  <si>
    <t>A-12 Week, prospective open-level, randmized…Paraplegia patients Dr. R.N. Srivastava</t>
  </si>
  <si>
    <r>
      <t xml:space="preserve">To Identify and study the navel natural plant…of skin cancer </t>
    </r>
    <r>
      <rPr>
        <b/>
        <sz val="10"/>
        <rFont val="Arial"/>
        <family val="2"/>
      </rPr>
      <t>SRF Mr. Ankit Verma</t>
    </r>
  </si>
  <si>
    <t>To study of………………………….Model</t>
  </si>
  <si>
    <t>"Pulahive markers of signal trarsitive----------mtracpithetial deoplasia(EIN)"</t>
  </si>
  <si>
    <t>S.R.F Mr.Rohit Kr.Srivastava "rule of circulating mysin…………….infarction (AMI)</t>
  </si>
  <si>
    <t>S.R.F Dr.Shashank Kumer "Astudy on role-------Cancer "</t>
  </si>
  <si>
    <t>"Analysis of specific Biomarkes of Fracture-----------narth mdion Population"</t>
  </si>
  <si>
    <r>
      <rPr>
        <b/>
        <sz val="10"/>
        <rFont val="Arial"/>
        <family val="2"/>
      </rPr>
      <t>S.R.F--Mr.Pratibha Singh</t>
    </r>
    <r>
      <rPr>
        <sz val="10"/>
        <rFont val="Arial"/>
        <family val="2"/>
      </rPr>
      <t xml:space="preserve"> (Expression and Palynorphism"</t>
    </r>
  </si>
  <si>
    <t>"Technical and laboratary support with quality assessment-----AES/JE casesim Bihar India"</t>
  </si>
  <si>
    <t>Project-"Cytokines and Xenobiotic-----acquired aplastic aremia"</t>
  </si>
  <si>
    <r>
      <t>"</t>
    </r>
    <r>
      <rPr>
        <b/>
        <sz val="10"/>
        <rFont val="Arial"/>
        <family val="2"/>
      </rPr>
      <t xml:space="preserve">SRF-Priyanka Gaur" </t>
    </r>
    <r>
      <rPr>
        <sz val="10"/>
        <rFont val="Arial"/>
        <family val="2"/>
      </rPr>
      <t>"DNA methylation charges----------brotical astma"</t>
    </r>
  </si>
  <si>
    <t>"CO-existerce of orexiccord ararexic harmones-------markerssim abese adult</t>
  </si>
  <si>
    <t xml:space="preserve">Evaluation of metastasis suppressor genes Wilms tumor 1 (WT1) TGM3 and PTPN14 in patients of Oral squamous cell carcinoma undergoing  chemoradiotheraphy </t>
  </si>
  <si>
    <t>A Rardomized Open lable study to assess the effects of  ----------edentulous Patients"</t>
  </si>
  <si>
    <t>SRF- Monika Pandey</t>
  </si>
  <si>
    <t>A study to evaluate effect of diabetes……..function</t>
  </si>
  <si>
    <t>Multisite Epidemicological and Virological of Human Influenza Virus Surveillance, Network in India Phase II</t>
  </si>
  <si>
    <r>
      <rPr>
        <b/>
        <sz val="10"/>
        <rFont val="Arial"/>
        <family val="2"/>
      </rPr>
      <t>SRF. Dr. Ravi Kant Singh</t>
    </r>
    <r>
      <rPr>
        <sz val="10"/>
        <rFont val="Arial"/>
        <family val="2"/>
      </rPr>
      <t xml:space="preserve"> ' Casusality of road traffic accidents and their relationship …………Lucknow UP.</t>
    </r>
  </si>
  <si>
    <t>SRF. Mr. Pankaj Kumar Singh.</t>
  </si>
  <si>
    <r>
      <t xml:space="preserve">DNA Hypermethylation in oral Cancer …………Clinicopothological Variables  </t>
    </r>
    <r>
      <rPr>
        <b/>
        <sz val="10"/>
        <rFont val="Arial"/>
        <family val="2"/>
      </rPr>
      <t>SRF Mr.Vikram Bhatia</t>
    </r>
  </si>
  <si>
    <r>
      <t xml:space="preserve">Senior Research fellow of </t>
    </r>
    <r>
      <rPr>
        <b/>
        <sz val="10"/>
        <rFont val="Arial"/>
        <family val="2"/>
      </rPr>
      <t xml:space="preserve"> Ms. Shipra Bhardwaj</t>
    </r>
  </si>
  <si>
    <t>Enhancing biorisk mitigation…………high risk group</t>
  </si>
  <si>
    <t>A Hospital Based Pilot study on the prevalence of syndrome Z among the patients of syndorme X.</t>
  </si>
  <si>
    <t>Loss of Mitochondrial in prostate cancer in North Indian Population.</t>
  </si>
  <si>
    <t>Understanding genetic……………….. Indian populations.</t>
  </si>
  <si>
    <t>Study of mitochondrial dysfunction during neurodegeneration in experimental model of parkinson's disease.</t>
  </si>
  <si>
    <t>A prospective open label randomized controlled clinical trial comparing indigenized negative pressure device to standard wound care for the treatment of bedsores in traumatic paraplegia patients.</t>
  </si>
  <si>
    <t>Role of circulatory………….Pulmonary Disesse.</t>
  </si>
  <si>
    <t>Cerebrospinal fluid………..Tuberculousis Meningitis.</t>
  </si>
  <si>
    <t>Association between methylene tetrahydroxy folate Reductase (MTHFR) genotype, folate deficiency and response to treatment among north Indian children with Acute Lymphoblastic Leukemia (ALL).</t>
  </si>
  <si>
    <t>Assessment of Biomedical waste Management (BMWM) Practices and Attitudinal study amoung healthcare Personal in CSM Medical University, Lucknow, UP-A 3000 Beded Tertiary care Hospital.</t>
  </si>
  <si>
    <t>An Epidemiological study of Nutritional status and Associated factors with Special reference to Obesity in Adolescents of Lucknow District</t>
  </si>
  <si>
    <t>Development of diagnosis protocol for chronic fungal sinusitis using non invasive methods.</t>
  </si>
  <si>
    <t>The Incidence of oral cancer in Lucknow District in three years.</t>
  </si>
  <si>
    <t>'Role of real time multiplex PCR in rapid diagnosis of community acquired acute bacterial meningitis in children ''</t>
  </si>
  <si>
    <t xml:space="preserve">Expression and correlation of B2 Adrenergic Receptor with creb, c- fos and their role in human oral squamous cell carcinoma </t>
  </si>
  <si>
    <t>'Association of single nucleotide polymorphisms in Heat shock factor 1 and 2 genes in male infertility''</t>
  </si>
  <si>
    <t>"Utilization of Artocarpus heterophyllus (Jackfruit ) Latex in Development of Herbal Dental Filling Meterial and Its Efficacy in Plaque Control "</t>
  </si>
  <si>
    <t xml:space="preserve">To study The correlation of CYR61 Expression With The Progression Of Healing Of traumatic Diaphyseal Fractures in Audit Patients </t>
  </si>
  <si>
    <t xml:space="preserve">Phylogenetic studies of mycobacterium tuberculosis isolates on the basis of insetion ………. Extra - pulmonary patients </t>
  </si>
  <si>
    <t xml:space="preserve">To determine the role of S-100 beta metabolite in neurological recovery in acute spinal cord (ASCI) though NMR Spectroscopy </t>
  </si>
  <si>
    <t xml:space="preserve">To Study on Gene ………. North Indian population  </t>
  </si>
  <si>
    <t xml:space="preserve">To assess the association of gene polymorphism and serum levels of interleukin I receptor antagonist with severity and complication of community acquired pneumonia in North Indian children . Of Science &amp; Technology </t>
  </si>
  <si>
    <t xml:space="preserve">To study genetic variation of IL -17 F gene on its protein level and lung function in bronchial asthma patients in india </t>
  </si>
  <si>
    <t>Pro-Inflammatory cytokines and matrix ………………….. Cysticercus granuloma</t>
  </si>
  <si>
    <t>Molecular characterization of RV1634 ……………………… Mycobacterium tuberculosis</t>
  </si>
  <si>
    <t>Effect of yogic interventions on the essential hypertensive………controlled trail</t>
  </si>
  <si>
    <t>A computed tomographic evaluation of efficacy…..a pilot study</t>
  </si>
  <si>
    <t>National Mental Health programme in Kanpur.</t>
  </si>
  <si>
    <t>To study the effect of yoganidra on menstrual disorders in women of reproductive age group.</t>
  </si>
  <si>
    <t>National Mental Health programme District Raibarialy.</t>
  </si>
  <si>
    <t>National Mental Health programme District Faizabad.</t>
  </si>
  <si>
    <r>
      <t xml:space="preserve">JRF Ship of  </t>
    </r>
    <r>
      <rPr>
        <b/>
        <sz val="12"/>
        <rFont val="Times New Roman"/>
        <family val="1"/>
      </rPr>
      <t>Ms. Gitika Mishra.</t>
    </r>
  </si>
  <si>
    <t>Spermtozoa DNA damage in infertile males;Protectiv effect of Unani preparition .</t>
  </si>
  <si>
    <r>
      <t xml:space="preserve">National Mental Health Programe - Release of grant under Manpower Devlopment scheme </t>
    </r>
    <r>
      <rPr>
        <b/>
        <sz val="10"/>
        <rFont val="Arial"/>
        <family val="2"/>
      </rPr>
      <t>(Scheme-B).</t>
    </r>
  </si>
  <si>
    <t>Characterization of uropathogenic E.Coli ………… Distinct Uropathotypes.</t>
  </si>
  <si>
    <t>National Mental Health programme District Sitapur.</t>
  </si>
  <si>
    <r>
      <t>Isolation and characterization of antidiabetic secondary metabolites from selected plants</t>
    </r>
    <r>
      <rPr>
        <b/>
        <sz val="10"/>
        <rFont val="Arial"/>
        <family val="2"/>
      </rPr>
      <t xml:space="preserve"> ES Dr. Vijai Lakshmi.</t>
    </r>
  </si>
  <si>
    <r>
      <rPr>
        <b/>
        <sz val="10"/>
        <rFont val="Arial"/>
        <family val="2"/>
      </rPr>
      <t>SRF. Ms. Apurva Srivastava.</t>
    </r>
    <r>
      <rPr>
        <sz val="10"/>
        <rFont val="Arial"/>
        <family val="2"/>
      </rPr>
      <t xml:space="preserve"> Genetic Predictors of Obesity.</t>
    </r>
  </si>
  <si>
    <r>
      <t xml:space="preserve">Chemical Investigation of few India Medicinal Plants </t>
    </r>
    <r>
      <rPr>
        <b/>
        <sz val="10"/>
        <rFont val="Arial"/>
        <family val="2"/>
      </rPr>
      <t>JRF- Keerti Ameta.</t>
    </r>
  </si>
  <si>
    <t>Vitamin D Supplementation in pregnancy regimens and long term effects on offspring.</t>
  </si>
  <si>
    <r>
      <rPr>
        <b/>
        <sz val="10"/>
        <rFont val="Arial"/>
        <family val="2"/>
      </rPr>
      <t>Shri. Sachil Kumar</t>
    </r>
    <r>
      <rPr>
        <sz val="10"/>
        <rFont val="Arial"/>
        <family val="2"/>
      </rPr>
      <t xml:space="preserve"> fellowship of Rajiv Gandhi National fellowship.</t>
    </r>
  </si>
  <si>
    <t>Effect of chemical molecules and role of cytokines in cerebral stroke for defence applications.</t>
  </si>
  <si>
    <r>
      <t xml:space="preserve">SRF Ship of  Mr Mahendra Pratap Singh, </t>
    </r>
    <r>
      <rPr>
        <sz val="10"/>
        <rFont val="Arial"/>
        <family val="2"/>
      </rPr>
      <t>Clinical Trial Protocol P276-00/21/08- An open Label,Multicenter Phase II study to evaluate efficacy and safety of P276-00/21/08 in Indian subjects with recurrent,metastatic or unresectable locally advanced squamous cell carcinoma of head and neck.</t>
    </r>
  </si>
  <si>
    <t>UGC Net JRF Ms. Yashodhra Sharma.</t>
  </si>
  <si>
    <r>
      <t xml:space="preserve">Rajiv Gandhi National Followship </t>
    </r>
    <r>
      <rPr>
        <b/>
        <sz val="10"/>
        <rFont val="Arial"/>
        <family val="2"/>
      </rPr>
      <t>Ms. Kirti</t>
    </r>
    <r>
      <rPr>
        <sz val="10"/>
        <rFont val="Arial"/>
        <family val="2"/>
      </rPr>
      <t xml:space="preserve"> .</t>
    </r>
  </si>
  <si>
    <t>SRF. Mr. Shobhit Srivastava</t>
  </si>
  <si>
    <r>
      <t>Rajiv Gandhi National Fellowship for SC Candidates</t>
    </r>
    <r>
      <rPr>
        <b/>
        <sz val="10"/>
        <rFont val="Arial"/>
        <family val="2"/>
      </rPr>
      <t xml:space="preserve"> Ms. Monika sankhwar.</t>
    </r>
  </si>
  <si>
    <t>Analysis of malalignment of lower limb as a risk factor for unorganised physical training and exercises related overuse injuries in young adults.</t>
  </si>
  <si>
    <t>Evaluation and comparison of pan fungal real time PCR, galactomannan and 1,3 B D glucan assay in diagnosis of invasive fungal infection in paediatric cancer patients.</t>
  </si>
  <si>
    <t>Pool officer Dr. Pooja Dhaon.</t>
  </si>
  <si>
    <t>Endometrial receptivity to implantion in infertile women withleiomyoma uteri: role of PI3K/Akt/mTOR signal transduction pathway.</t>
  </si>
  <si>
    <t>JRF.Ms. Pratibha kumari Inspire Phd.Programme.</t>
  </si>
  <si>
    <t>Polymorphism and expression profile of susceptible genes in knee osteoarthritis: A case control study.</t>
  </si>
  <si>
    <r>
      <rPr>
        <b/>
        <sz val="10"/>
        <rFont val="Arial"/>
        <family val="2"/>
      </rPr>
      <t>SRF. Nisha Mani Pandey.</t>
    </r>
    <r>
      <rPr>
        <sz val="10"/>
        <rFont val="Arial"/>
        <family val="2"/>
      </rPr>
      <t>Developing modules for cognitive engancement for Illiterate older Adults with cognitive Deficits.</t>
    </r>
  </si>
  <si>
    <t>SRF. Mr. Shashi Bhushan Tripathi.</t>
  </si>
  <si>
    <t>SRF. Ms. Mukta Rani.</t>
  </si>
  <si>
    <t>Differential expression of micro rna in BPH and prostate cancer its possible role as a predicive and prognostic biomarker of therapy outcome.</t>
  </si>
  <si>
    <t xml:space="preserve">Comprehensive evaluation of bone defect regeneration using B-TCP &amp; collagen sponge with BMP-7 </t>
  </si>
  <si>
    <t>Comparison of Stability with two times use of platelet Rich Growth Factor Versus One Time Use of Platelet Rich Growth Factor in Immediate Placement of Dental Implant in Infected Socket.</t>
  </si>
  <si>
    <r>
      <t>SRF.Pratibha Singh:</t>
    </r>
    <r>
      <rPr>
        <sz val="10"/>
        <rFont val="Arial"/>
        <family val="2"/>
      </rPr>
      <t xml:space="preserve"> Mutations and susceptibility to sick sinus syndrome.</t>
    </r>
  </si>
  <si>
    <t>N M R based metabolomics for early detection of oral precancer and cancer Dr Divya Mehrotra</t>
  </si>
  <si>
    <t xml:space="preserve">Universal salt lodisation (USI) cell </t>
  </si>
  <si>
    <t>Strengthering of RMNCH+A mtervertions-------------dis (Mirzapur,Sonebhadra &amp; Badaun."</t>
  </si>
  <si>
    <t>"Faciliting Meeting of Medical collegesfer Developing-----child heald Health in Uttar Pradesh</t>
  </si>
  <si>
    <t>U G C Net JRF student Miss. Monika Gautam under Dr. Uday Mohan</t>
  </si>
  <si>
    <t>Identification and Characterization of immunodominant T Cell epitopes………………..Spondyloarthropathy.</t>
  </si>
  <si>
    <t>Isolation and characterization of anticancer phytochemicals from Indian Medical Plants</t>
  </si>
  <si>
    <t>Effect of yogic practices on Cardiac autonomic and metabolic parameter in-patients of Coronary Artery Diseases.</t>
  </si>
  <si>
    <t>Strengthering of RMNCH+A Itervertions-------------dis (Mirzapur,Sonebhadra &amp; Badaun."</t>
  </si>
  <si>
    <t>"Saving New born Lives through improved maragement of birth Asphyxia (CS-28)"</t>
  </si>
  <si>
    <t>"Immurological genetic and behaviaral Profile of womwn with urirary tract mfections by E.coli Rale of host factars"</t>
  </si>
  <si>
    <t>"Detection of Mycobacterium tuberculcsis MRNA in sputun------arti tuberular therapy a pilot study"</t>
  </si>
  <si>
    <r>
      <t xml:space="preserve">"Strenghering </t>
    </r>
    <r>
      <rPr>
        <i/>
        <sz val="10"/>
        <rFont val="Arial"/>
        <family val="2"/>
      </rPr>
      <t>I</t>
    </r>
    <r>
      <rPr>
        <sz val="10"/>
        <rFont val="Arial"/>
        <family val="2"/>
      </rPr>
      <t>mplementation of state Nateition Mission U.P</t>
    </r>
  </si>
  <si>
    <t>"Strengthening of Home Bosed Newborn care programme in Uttar Pradesh"</t>
  </si>
  <si>
    <t>Phytochemical Investigation of Anthocephalus cadamba and sesbania ………….plants in cancer</t>
  </si>
  <si>
    <t>Assessment of lead toxicity and its implication in children of occupational Warkers</t>
  </si>
  <si>
    <t>To study cognitive functions, alteration in neurotransmitters…………..neurochemical study</t>
  </si>
  <si>
    <t>Pending dues towards Salary and Arrears of Dr Papiya Mukherji &amp; Kavita Rani</t>
  </si>
  <si>
    <t>"An indigenous amalgamated / single unit alveolar distractor implant system for oral rehabilitation "</t>
  </si>
  <si>
    <t>Development of a Portable wheelchair………movement disability.</t>
  </si>
  <si>
    <t>Evaluation of Prognostic and Predictive……..Gall bladder cancer</t>
  </si>
  <si>
    <t>I.C.M.R. New delhi</t>
  </si>
  <si>
    <t>ICMR</t>
  </si>
  <si>
    <t>UP,CST</t>
  </si>
  <si>
    <t>UPCST</t>
  </si>
  <si>
    <t>Govt of India Ministry of Heath and Family welfare Deptt of Health</t>
  </si>
  <si>
    <t>M/s Ayush/Yoga Nidra</t>
  </si>
  <si>
    <t>CSIR</t>
  </si>
  <si>
    <t>CCRUM</t>
  </si>
  <si>
    <t>DBT</t>
  </si>
  <si>
    <t>UGC</t>
  </si>
  <si>
    <t>DRDO</t>
  </si>
  <si>
    <t>RGNF</t>
  </si>
  <si>
    <t>SERB</t>
  </si>
  <si>
    <t>DST</t>
  </si>
  <si>
    <t>D S T</t>
  </si>
  <si>
    <t>UNICEF</t>
  </si>
  <si>
    <t>U G C</t>
  </si>
  <si>
    <t>M/s Ayush</t>
  </si>
  <si>
    <t>Govt of India</t>
  </si>
  <si>
    <t>Prof. Sanjay Khattri</t>
  </si>
  <si>
    <t>Prof. Shraddha Singh</t>
  </si>
  <si>
    <t>Prof. M. M. Goel</t>
  </si>
  <si>
    <t>Prof. Sanjeev Misra</t>
  </si>
  <si>
    <t>Prof. Mastan Singh</t>
  </si>
  <si>
    <t>Prof. Amita Jain</t>
  </si>
  <si>
    <t>Prof. Girish Chandra</t>
  </si>
  <si>
    <t>Prof. Virendra Atam</t>
  </si>
  <si>
    <t>Prof. S. P. Jaiswar</t>
  </si>
  <si>
    <t>Prof. Vani Gupta</t>
  </si>
  <si>
    <t>Prof. R. K. Dixit</t>
  </si>
  <si>
    <t>Prof. Sandeep Bhattacharya</t>
  </si>
  <si>
    <t>Prof. Amita jain</t>
  </si>
  <si>
    <t xml:space="preserve">Prof. Sandeep Kumar </t>
  </si>
  <si>
    <t>Prof. Wahid Ali</t>
  </si>
  <si>
    <t>Prof. Surya Kant</t>
  </si>
  <si>
    <t>Prof. Rajendra Nath</t>
  </si>
  <si>
    <t>Dr.Rajesh Verma</t>
  </si>
  <si>
    <t>Prof. Uday Mohan</t>
  </si>
  <si>
    <t xml:space="preserve">Prof. Amita Jain </t>
  </si>
  <si>
    <t>Prof. Vimala Venkatesh</t>
  </si>
  <si>
    <t>Prof. Shailendra Kumar</t>
  </si>
  <si>
    <t>Prof. G. K. Malik / Dr.S.N. Singh</t>
  </si>
  <si>
    <t>Prof. A. K. Singh</t>
  </si>
  <si>
    <t>Prof. J. V. Singh/Dr.MonikaAgarwal</t>
  </si>
  <si>
    <t>Prof. A.K.Tripathi</t>
  </si>
  <si>
    <t>Prof S.K.Das</t>
  </si>
  <si>
    <t>Prof. R.N. Srivastava</t>
  </si>
  <si>
    <t>Prof. Naseem Jamal</t>
  </si>
  <si>
    <t>Dr.M.M. Goal</t>
  </si>
  <si>
    <t>Dr.Sunita Tiwari</t>
  </si>
  <si>
    <t>Dr.M.Kaleem Ahmed</t>
  </si>
  <si>
    <t>Dr.Ajai Singh</t>
  </si>
  <si>
    <t>Dr.Amita Jain</t>
  </si>
  <si>
    <t>Dr.A.K.Tripathi</t>
  </si>
  <si>
    <t>Dr.Sandeep Bhattachrya</t>
  </si>
  <si>
    <t>Dr.Vani Gupta</t>
  </si>
  <si>
    <t>Dr. M. L. B. Bhatt</t>
  </si>
  <si>
    <t>Dr.Soumendra.V.Singh</t>
  </si>
  <si>
    <t>Dr S C Tiwari</t>
  </si>
  <si>
    <t>Dr. Amita Jain</t>
  </si>
  <si>
    <t>Prof. Vishwajeet Singh</t>
  </si>
  <si>
    <t>Prof. Shalini Gupta</t>
  </si>
  <si>
    <t>Prof. Shivani Pandey</t>
  </si>
  <si>
    <t>Dr. Sanjeev Kumar Verma</t>
  </si>
  <si>
    <t>Prof. S. P. Agarwal</t>
  </si>
  <si>
    <t>Dr. U.S.Pal</t>
  </si>
  <si>
    <t xml:space="preserve">Dr. Jyotsna Agarwal </t>
  </si>
  <si>
    <t xml:space="preserve">Prof. Shradda Singh </t>
  </si>
  <si>
    <t>Dr. S.N. Sankhwar</t>
  </si>
  <si>
    <t xml:space="preserve">Jitendra Rao </t>
  </si>
  <si>
    <t xml:space="preserve">Dr. Ajai Singh </t>
  </si>
  <si>
    <t xml:space="preserve">Dr. Surya kant </t>
  </si>
  <si>
    <t xml:space="preserve">Dr. M Kaleem Ahmad </t>
  </si>
  <si>
    <t xml:space="preserve">Dr. Ved Prakash </t>
  </si>
  <si>
    <t>Prof. Hardeep Singh Malhotra</t>
  </si>
  <si>
    <t>Prof. R. A. S. Kushwaha</t>
  </si>
  <si>
    <t>Dr. Shailendra Kumar</t>
  </si>
  <si>
    <t>Dr. Pooran Chand</t>
  </si>
  <si>
    <t>Prof. Probhat Sitholey/Dr Vivek Agarwal</t>
  </si>
  <si>
    <t>Prof. Neena Srivastava</t>
  </si>
  <si>
    <t>Prof. Harjeet Singh/ Prof. Anil Nischal</t>
  </si>
  <si>
    <t>Prof. Jyotsna Agarwal</t>
  </si>
  <si>
    <t>Dr.U.S.Singh</t>
  </si>
  <si>
    <t>Prof. Sunita Tiwari</t>
  </si>
  <si>
    <t>Prof. Sanjeev Mishra/Dr. Vijay Kumar</t>
  </si>
  <si>
    <t>Prof. Sandeep Saxena</t>
  </si>
  <si>
    <t>Prof. A. K. Saksena</t>
  </si>
  <si>
    <t>Prof. Ajay Singh</t>
  </si>
  <si>
    <t>Prof. Prashant Gupta</t>
  </si>
  <si>
    <t>Prof. S.P.Jaiswar</t>
  </si>
  <si>
    <t>Prof. S. C. Tiwari</t>
  </si>
  <si>
    <t>Prof. Nand Lal</t>
  </si>
  <si>
    <t>Prof. U.S.Pal</t>
  </si>
  <si>
    <t>Prof.S.M.Natu</t>
  </si>
  <si>
    <t>Prof. Divya Mehrotra</t>
  </si>
  <si>
    <t>Prof. J.V. Singh</t>
  </si>
  <si>
    <t>Prof.J.V.Singh</t>
  </si>
  <si>
    <t>Prof. Rajeev Singh</t>
  </si>
  <si>
    <t>Prof. A.A. Mahdi</t>
  </si>
  <si>
    <t>Prof. Jyotsra Agarwal</t>
  </si>
  <si>
    <t>Prof.Shalini Bhatnager</t>
  </si>
  <si>
    <t>Prof. M. Kaleem Ahmad</t>
  </si>
  <si>
    <t>Prof. K. K. Pant</t>
  </si>
  <si>
    <t xml:space="preserve">Dr Divya Mehrotra </t>
  </si>
  <si>
    <t>Dr. Bhaskar Agarwal</t>
  </si>
  <si>
    <t>Dr. Sameer Gupta</t>
  </si>
  <si>
    <t>correlation of Nitrogen balance with outcome in surgical patients and calculation of MDAS</t>
  </si>
  <si>
    <r>
      <t>Human Reproduction Research centre</t>
    </r>
    <r>
      <rPr>
        <sz val="10"/>
        <rFont val="Times New Roman"/>
        <family val="1"/>
      </rPr>
      <t>(HRRC)</t>
    </r>
  </si>
  <si>
    <t>Comparative study of mRNA experssion and adipokines polymorphism in pre and post menopausal women and with out Metabolic Syndrome</t>
  </si>
  <si>
    <r>
      <t xml:space="preserve">Association of single nucleotide polymorphism in……………..north indian population </t>
    </r>
    <r>
      <rPr>
        <sz val="10"/>
        <rFont val="Times New Roman"/>
        <family val="1"/>
      </rPr>
      <t>(SRF Ship of Mr. Abhishek Mishra)</t>
    </r>
  </si>
  <si>
    <r>
      <t>Association studies of Fat Mass and obesity - Associated gene,insulin-induced gene 2 ectoenzyme nucleotide pyrophosopsate phosphodiesterase gene polymoprphisms with obesity.</t>
    </r>
    <r>
      <rPr>
        <sz val="10"/>
        <rFont val="Times New Roman"/>
        <family val="1"/>
      </rPr>
      <t xml:space="preserve"> SRF Ship of Mr. Jai Prakash</t>
    </r>
  </si>
  <si>
    <r>
      <t xml:space="preserve">A case control study on clinical, bacterioplogical and radiological profile in patients of diabetes mellitus with pulmonary tuberculosis </t>
    </r>
    <r>
      <rPr>
        <sz val="10"/>
        <rFont val="Times New Roman"/>
        <family val="1"/>
      </rPr>
      <t>SRF. Ms. Hemlata</t>
    </r>
  </si>
  <si>
    <r>
      <t xml:space="preserve">"A pilot study on hetersexual transmission of hepatitis B virus and Hepatitis C virus among HIV negative and positive Married couples in North india" </t>
    </r>
    <r>
      <rPr>
        <sz val="10"/>
        <rFont val="Times New Roman"/>
        <family val="1"/>
      </rPr>
      <t>SRF -Ms.Neha Wal</t>
    </r>
  </si>
  <si>
    <t>Aluminum mediated apoptosis and expression of tumor suppressor gene "TP53" in neuroloblasstoma cell line protective role of bacopa monnieri.</t>
  </si>
  <si>
    <r>
      <t xml:space="preserve">Genetic polymorphism in androgen…………….. Prostatic hyperplasia </t>
    </r>
    <r>
      <rPr>
        <sz val="10"/>
        <rFont val="Times New Roman"/>
        <family val="1"/>
      </rPr>
      <t>SRF Ship- Vimal Kumar Choubey</t>
    </r>
  </si>
  <si>
    <r>
      <t xml:space="preserve">A randomized controlled trial to observe mellitus   </t>
    </r>
    <r>
      <rPr>
        <sz val="10"/>
        <rFont val="Times New Roman"/>
        <family val="1"/>
      </rPr>
      <t xml:space="preserve"> JRF. Mr. Saumya Mishra</t>
    </r>
  </si>
  <si>
    <r>
      <t xml:space="preserve">DNA Hypermethylation in oral Cancer …………Clinicopothological Variables  </t>
    </r>
    <r>
      <rPr>
        <sz val="10"/>
        <rFont val="Times New Roman"/>
        <family val="1"/>
      </rPr>
      <t>SRF Mr.Vikram Bhatia</t>
    </r>
  </si>
  <si>
    <t>"Evaluation of a Progesterone Vaginal ring as a new contraceptive option in India"</t>
  </si>
  <si>
    <r>
      <t xml:space="preserve">Expression and polymorphism pattern of Cholecystokinin receptors in Cholelithiasis and gall Bladder cancer. </t>
    </r>
    <r>
      <rPr>
        <sz val="10"/>
        <rFont val="Times New Roman"/>
        <family val="1"/>
      </rPr>
      <t>SRF.Hasan Raza Kazmi</t>
    </r>
  </si>
  <si>
    <r>
      <rPr>
        <sz val="12"/>
        <color theme="0"/>
        <rFont val="Calibri"/>
        <family val="2"/>
        <scheme val="minor"/>
      </rPr>
      <t>SRF. Mr. Suraj Singh Yadav.</t>
    </r>
    <r>
      <rPr>
        <sz val="10"/>
        <color theme="1"/>
        <rFont val="Times New Roman"/>
        <family val="1"/>
      </rPr>
      <t xml:space="preserve"> Siginificance of serum metalloproteinase 2,4,9 levels in metabolic syndrome.</t>
    </r>
  </si>
  <si>
    <t>Aetiology of acute encephalitis syndrome (AES) in India &amp; Establishment of ICMR sample bank of AES cases-a multisite prospective initiative.</t>
  </si>
  <si>
    <r>
      <rPr>
        <sz val="10"/>
        <rFont val="Times New Roman"/>
        <family val="1"/>
      </rPr>
      <t>SRF. Ship of Ms. Pooja Singh. Haplotype based analysis of cytokine gene polymorphism in breast cancer.</t>
    </r>
  </si>
  <si>
    <r>
      <t xml:space="preserve">The effect of APO A-V and LIPC promoter gene polymorphism on Circulatiotion APO A-V level and lipoproteins in indians with and without coronary artery disease </t>
    </r>
    <r>
      <rPr>
        <sz val="10"/>
        <rFont val="Times New Roman"/>
        <family val="1"/>
      </rPr>
      <t>SRF Ms.Pratima Verma</t>
    </r>
  </si>
  <si>
    <r>
      <t>Efficacy of fruit extract of Emblica-officinalis (Amla) and Piper-nigrum (piperine) against arsenic induced thymic atrophy and spleenomegaly in mice.</t>
    </r>
    <r>
      <rPr>
        <sz val="10"/>
        <rFont val="Times New Roman"/>
        <family val="1"/>
      </rPr>
      <t>SRF Mr.Manish Kumar Singh</t>
    </r>
  </si>
  <si>
    <r>
      <rPr>
        <sz val="10"/>
        <rFont val="Times New Roman"/>
        <family val="1"/>
      </rPr>
      <t>SRF. Mr. Suraj Singh Yadav. Siginificance of serum metalloproteinase 2,4,9 levels in metabolic syndrome.</t>
    </r>
  </si>
  <si>
    <r>
      <rPr>
        <sz val="10"/>
        <rFont val="Times New Roman"/>
        <family val="1"/>
      </rPr>
      <t>SRF. Ship of Mr. Rahul Pandey " A study on mitochondrial…… origin.</t>
    </r>
  </si>
  <si>
    <r>
      <t>Genetic Association of nicotine acetylcholine receptors gene polymorphisms in chronic obstructive pulmonarey disease</t>
    </r>
    <r>
      <rPr>
        <sz val="10"/>
        <rFont val="Times New Roman"/>
        <family val="1"/>
      </rPr>
      <t>.SRF Mr.Rajni Kant Shukla</t>
    </r>
  </si>
  <si>
    <r>
      <t>Association of CYP-17 (MspA1) and Transcriptional Regulatory Region of APOE gene polymorphism with Gall bladder cancer in North Indian Population.</t>
    </r>
    <r>
      <rPr>
        <sz val="10"/>
        <rFont val="Times New Roman"/>
        <family val="1"/>
      </rPr>
      <t>SRF Ship of Ms.Shipra Dwivedi</t>
    </r>
  </si>
  <si>
    <r>
      <t>High risk human papilloma Virus infection and E6/E7 m-RNA expression in Oral Squamous Cell Carcinoma and Potentially malignant Oral Lesions.</t>
    </r>
    <r>
      <rPr>
        <sz val="10"/>
        <rFont val="Times New Roman"/>
        <family val="1"/>
      </rPr>
      <t xml:space="preserve"> SRF-Ms.Priyanka Shilpi(Non-Medical)</t>
    </r>
  </si>
  <si>
    <r>
      <t xml:space="preserve">Molecular predictive biomarkers of radioresistance in oral squamous cell…………..responsiveness to radiotherapy </t>
    </r>
    <r>
      <rPr>
        <sz val="10"/>
        <rFont val="Times New Roman"/>
        <family val="1"/>
      </rPr>
      <t>SRF. Mr. Shankar Sharan Singh</t>
    </r>
  </si>
  <si>
    <t>To assess the oxidative stress and antioxidative parameters and metal ion content in Indian patients with primary fibromyalgia syndrome.</t>
  </si>
  <si>
    <r>
      <t xml:space="preserve">To assess peripherral biomarkers for diagnosis and prognosis of parkinson's syndrome. </t>
    </r>
    <r>
      <rPr>
        <sz val="10"/>
        <rFont val="Times New Roman"/>
        <family val="1"/>
      </rPr>
      <t>SRF Ms. Vineeta Gupta</t>
    </r>
  </si>
  <si>
    <r>
      <t>Local expression of chemokines and macrophage infiltration Role in breast cancer metastasus.</t>
    </r>
    <r>
      <rPr>
        <sz val="10"/>
        <rFont val="Times New Roman"/>
        <family val="1"/>
      </rPr>
      <t xml:space="preserve"> SRF. Brij Nath Tewari</t>
    </r>
  </si>
  <si>
    <t>SRF. Mr. Pratap Shankar</t>
  </si>
  <si>
    <r>
      <t xml:space="preserve">Metallo beta lactamase production in pseudomonas aeruginosa……………lower respiratory tract infection. </t>
    </r>
    <r>
      <rPr>
        <sz val="10"/>
        <rFont val="Times New Roman"/>
        <family val="1"/>
      </rPr>
      <t>SRF. Ms. Shivani Saxena</t>
    </r>
  </si>
  <si>
    <r>
      <t xml:space="preserve">SRF Ms. Richa Singh </t>
    </r>
    <r>
      <rPr>
        <sz val="10"/>
        <rFont val="Times New Roman"/>
        <family val="1"/>
      </rPr>
      <t>Prognostic Implications…..Breast Cancer:A prospective Cohort Study</t>
    </r>
  </si>
  <si>
    <r>
      <rPr>
        <sz val="10"/>
        <rFont val="Times New Roman"/>
        <family val="1"/>
      </rPr>
      <t>SRF. Ms. Jaya Nigam, To study the association of polymorphism in surviving gene with its expression in gall bladder cancer,</t>
    </r>
  </si>
  <si>
    <r>
      <rPr>
        <sz val="10"/>
        <rFont val="Times New Roman"/>
        <family val="1"/>
      </rPr>
      <t>SRF. Sheeba Afreen, Estimation of tregulators trace elements and vitamin B12 in peripheral blood of preeclamptic and pregnencies and compared with their umbilical cord blood</t>
    </r>
  </si>
  <si>
    <r>
      <rPr>
        <sz val="10"/>
        <rFont val="Times New Roman"/>
        <family val="1"/>
      </rPr>
      <t>SRF. Ms. Qulsoom Naz Alpha adducing (ADDI) and angiotensinogen (AGT) gene polymorphism in yongh Essential Hypertensive North Indians</t>
    </r>
  </si>
  <si>
    <r>
      <t xml:space="preserve">Evaluation of molecular methods </t>
    </r>
    <r>
      <rPr>
        <sz val="10"/>
        <rFont val="Times New Roman"/>
        <family val="1"/>
      </rPr>
      <t>(PCR, Immunohistochemistry) against conventional methods (histopathlogy culture AFB staining in endometrial samples) and laparoscopy in detection of genital tuberculosis infertile women ( FGTB ).</t>
    </r>
  </si>
  <si>
    <r>
      <rPr>
        <sz val="10"/>
        <rFont val="Times New Roman"/>
        <family val="1"/>
      </rPr>
      <t>(SRF. Mr. Prithvi Kumar Singh ) Association of inflammatolory biomarker genes polymorphism for pain severity in cancer patients</t>
    </r>
  </si>
  <si>
    <r>
      <rPr>
        <sz val="10"/>
        <rFont val="Times New Roman"/>
        <family val="1"/>
      </rPr>
      <t>SRF. Mr. Alok Kumar Singh Serial blood brain barrier (BBB)……………antiepileptic therapy.</t>
    </r>
  </si>
  <si>
    <r>
      <rPr>
        <sz val="10"/>
        <rFont val="Times New Roman"/>
        <family val="1"/>
      </rPr>
      <t>SRF. Ms. Baby Anjum " a case control study of 24 hrs…………….melatonin levels"</t>
    </r>
  </si>
  <si>
    <r>
      <rPr>
        <sz val="10"/>
        <rFont val="Times New Roman"/>
        <family val="1"/>
      </rPr>
      <t>SRF. Mr. Manish Kumar Pal " Micro RNA as a Biomarker……………. Overian cancer.</t>
    </r>
  </si>
  <si>
    <r>
      <rPr>
        <sz val="10"/>
        <rFont val="Times New Roman"/>
        <family val="1"/>
      </rPr>
      <t>SRF. Mr. Shyam Vinay sharma ' Study of autonomic and haemodynamic………………….. Lucknow city.</t>
    </r>
  </si>
  <si>
    <r>
      <t xml:space="preserve">The Circadian pattern of blood pressure and cardiovascular autonomic regulation in patients with coronary Heart disease and  effect of melatonin supplementation on it. </t>
    </r>
    <r>
      <rPr>
        <sz val="10"/>
        <rFont val="Times New Roman"/>
        <family val="1"/>
      </rPr>
      <t>SRF Mr. KSHITIJ BHARDWAJ.</t>
    </r>
  </si>
  <si>
    <r>
      <rPr>
        <sz val="10"/>
        <rFont val="Times New Roman"/>
        <family val="1"/>
      </rPr>
      <t>SRF. Dr. Ravi Kant Singh ' Casusality of road traffic accidents and their relationship …………Lucknow UP.</t>
    </r>
  </si>
  <si>
    <r>
      <t>Effect and associated………with controls.</t>
    </r>
    <r>
      <rPr>
        <sz val="10"/>
        <rFont val="Times New Roman"/>
        <family val="1"/>
      </rPr>
      <t>SRF.Ms.Pratibha Dixit</t>
    </r>
  </si>
  <si>
    <r>
      <t>Smad3 gene polymorphism and expression…………with knee osteoathritis.</t>
    </r>
    <r>
      <rPr>
        <sz val="10"/>
        <rFont val="Times New Roman"/>
        <family val="1"/>
      </rPr>
      <t>SRF Mr. Amar Chandra Sharma</t>
    </r>
  </si>
  <si>
    <r>
      <t xml:space="preserve">Preclinical study to evaluate the pharmacokinetics……..with poly herbal formulations in rats. </t>
    </r>
    <r>
      <rPr>
        <sz val="10"/>
        <rFont val="Times New Roman"/>
        <family val="1"/>
      </rPr>
      <t>SRF Mr. Devendra Kumar.</t>
    </r>
  </si>
  <si>
    <r>
      <t xml:space="preserve">A study of the effect of yogic intervention on …….in older adults. </t>
    </r>
    <r>
      <rPr>
        <sz val="10"/>
        <rFont val="Times New Roman"/>
        <family val="1"/>
      </rPr>
      <t>SRF. Ms. Khushbu Rani.</t>
    </r>
  </si>
  <si>
    <r>
      <rPr>
        <sz val="10"/>
        <rFont val="Times New Roman"/>
        <family val="1"/>
      </rPr>
      <t>SRF. Mr.Pramod Kr. Singh :Role of Omega-2 fatty acid against chronic lead induced Neurotoxicity.</t>
    </r>
  </si>
  <si>
    <r>
      <t xml:space="preserve">SRF Ship of </t>
    </r>
    <r>
      <rPr>
        <sz val="10"/>
        <rFont val="Times New Roman"/>
        <family val="1"/>
      </rPr>
      <t>Mr. Anupam Kumar Srivastava</t>
    </r>
  </si>
  <si>
    <r>
      <t>SRF. Mr.S.H.M.Rizvi:</t>
    </r>
    <r>
      <rPr>
        <sz val="10"/>
        <rFont val="Times New Roman"/>
        <family val="1"/>
      </rPr>
      <t xml:space="preserve"> To Evaluate aluminium induced unfolded protein……………in neuronal apoptosis.</t>
    </r>
  </si>
  <si>
    <t>Vestibulotoxcity of aminoglycosides in antitubercular treatment.</t>
  </si>
  <si>
    <r>
      <t xml:space="preserve">SRF. Ms.Shruti Agnihotri: </t>
    </r>
    <r>
      <rPr>
        <sz val="10"/>
        <rFont val="Times New Roman"/>
        <family val="1"/>
      </rPr>
      <t>To assess the role of yoga and antioxidants in the management of bronchial Asthma.</t>
    </r>
  </si>
  <si>
    <r>
      <t xml:space="preserve">SRF. Mr. Abhishek Dubey : </t>
    </r>
    <r>
      <rPr>
        <sz val="10"/>
        <rFont val="Times New Roman"/>
        <family val="1"/>
      </rPr>
      <t>A Randomized Prospective study to investigate efficacy and long term outcome……………………Sleep apnea (OSA).</t>
    </r>
  </si>
  <si>
    <r>
      <t xml:space="preserve">SRF. Mr. Deependra Kumar Yadav : </t>
    </r>
    <r>
      <rPr>
        <sz val="10"/>
        <rFont val="Times New Roman"/>
        <family val="1"/>
      </rPr>
      <t>The study of Fcy receptor genes polymorphism in patients of primary Immune Thrombocytopenia (ITP).</t>
    </r>
  </si>
  <si>
    <r>
      <t xml:space="preserve">SRF. Ms. Arshiya Parveen : </t>
    </r>
    <r>
      <rPr>
        <sz val="10"/>
        <rFont val="Times New Roman"/>
        <family val="1"/>
      </rPr>
      <t>Effect of manganese of ER stress and unfolded Protien response …………………..EIF2A in Primary astrocyte Cells.</t>
    </r>
  </si>
  <si>
    <r>
      <rPr>
        <sz val="10"/>
        <rFont val="Times New Roman"/>
        <family val="1"/>
      </rPr>
      <t>SRF. Mr. Sourabh Srivastava : Development of  Nanoparticals……………Targeted.</t>
    </r>
  </si>
  <si>
    <t>Effect of Vitamin D on Progression……………………….control trial.</t>
  </si>
  <si>
    <r>
      <t xml:space="preserve">To Study the effect of Pro -  inflammatary ……………….…….…………...osteoarthritic modal.      </t>
    </r>
    <r>
      <rPr>
        <sz val="10"/>
        <rFont val="Times New Roman"/>
        <family val="1"/>
      </rPr>
      <t>SRF-Ms. Manju Singh</t>
    </r>
  </si>
  <si>
    <r>
      <t xml:space="preserve">Association of Single Nucleotide polymorphism in……………..profile of knee Osteoarthritis </t>
    </r>
    <r>
      <rPr>
        <sz val="10"/>
        <rFont val="Times New Roman"/>
        <family val="1"/>
      </rPr>
      <t>SRF- Ms. Divya Sanghi</t>
    </r>
  </si>
  <si>
    <r>
      <rPr>
        <sz val="10"/>
        <rFont val="Times New Roman"/>
        <family val="1"/>
      </rPr>
      <t>SRF-Ms Archana Mishra: Effect of curcumin on IGF…………treated rats.</t>
    </r>
  </si>
  <si>
    <r>
      <t xml:space="preserve">Genetic association of neurotransmitter pathway…………………………...in northern indian population. </t>
    </r>
    <r>
      <rPr>
        <sz val="10"/>
        <rFont val="Times New Roman"/>
        <family val="1"/>
      </rPr>
      <t xml:space="preserve">(Ritu Kumari </t>
    </r>
  </si>
  <si>
    <t>A-12 week ,prospective open level…………paraplagia patients</t>
  </si>
  <si>
    <t>To identify and study the novel ………………..prevention of skin cancer</t>
  </si>
  <si>
    <t>SRF. Dr. Shashank Kumar</t>
  </si>
  <si>
    <t>SRF. Dr. Rohit Kumar Srivastava</t>
  </si>
  <si>
    <t>Putative markers of signal transduction …………………. …intracpitheliel neoplasia (EIN).</t>
  </si>
  <si>
    <t>Cytokines and xenobiotic metabolizing enzymes gene ………………….aplastic anemia.</t>
  </si>
  <si>
    <t>Neurological manifestations of dengue………… prospective study.</t>
  </si>
  <si>
    <t>Technical and laberatory support ……………………. AES/JE cases in bihar india.</t>
  </si>
  <si>
    <t>Analysis of specific biomarkers of fracture ……… ……north indian population.</t>
  </si>
  <si>
    <t>A randomized double blind study to assess …………… edentulous patients</t>
  </si>
  <si>
    <t>SRF. Ms. Pratibha Singh</t>
  </si>
  <si>
    <t>Pool officer Dr. Sunil Kumar Singh.</t>
  </si>
  <si>
    <t>Post MDA Assessment under MDA-2013</t>
  </si>
  <si>
    <t xml:space="preserve">UGC Net JRF Ms. Monika Gautam </t>
  </si>
  <si>
    <t>Isolation and characterization of anticancer phytochemicals from indian medicine plants.</t>
  </si>
  <si>
    <t>NMR based metabolomics for early defection of oral precancer and cancer.</t>
  </si>
  <si>
    <t xml:space="preserve">Traing on public health management 01-12-14 to 21-12-14 </t>
  </si>
  <si>
    <t>Universal salt lodisation (USI) cell.</t>
  </si>
  <si>
    <t>Facilitaling mecting of medical college for……………child health in uttar pradesh.</t>
  </si>
  <si>
    <t>Strengthening of RMNCHIA…………disc. (mirzapur,sonebhadra,s bedaun),</t>
  </si>
  <si>
    <t>Strengthening implementation of state nutrition mission U.P.</t>
  </si>
  <si>
    <t>Saving  newborn lives through improved management of birth asphyxia (cs-28)</t>
  </si>
  <si>
    <t xml:space="preserve">Travel Grant </t>
  </si>
  <si>
    <t>The Frequency and ……………Phenotypic study.</t>
  </si>
  <si>
    <t>Development of cost effective model for the diagnosis of Atrophic Vaginitis in Postmenopausal women and evaluation of treatment response to vaginal estrogen VS isoflavone.</t>
  </si>
  <si>
    <t>Molecular detection and characterization of diarrheagenic escherichia coli and their antibiotic susceptibility profile in children less than five year of age hospitalized for acute/persistent diarrhea.</t>
  </si>
  <si>
    <t>Comparision of DOTs with Conventional ATT in cases of Female GenitalTuberculosis Obstetrics &amp; Gynaecology Infertility.</t>
  </si>
  <si>
    <t>To assess the association of haplotype and single nucleotide polymorphisms (SNPs) of chromosomes 17 genes large inversion region with severity of asthma response to corticoseroids during acute attack as well as follow up.</t>
  </si>
  <si>
    <r>
      <rPr>
        <sz val="10"/>
        <rFont val="Times New Roman"/>
        <family val="1"/>
      </rPr>
      <t>SRF. Ms. Kavita Baghel. Tumor necrosis factor alpha gene polymorphism and sepsis susceptibility in surgical patients.</t>
    </r>
  </si>
  <si>
    <t>Assessment of  Psychological burden cleft lip and palate patient.</t>
  </si>
  <si>
    <t xml:space="preserve">UGC </t>
  </si>
  <si>
    <t>WHO</t>
  </si>
  <si>
    <t>Bill &amp; Melinda Gates Foundation</t>
  </si>
  <si>
    <t>Prof. Ashish wakhlu</t>
  </si>
  <si>
    <t>Prof. G. K. Malik /
 Dr.S.N. Singh</t>
  </si>
  <si>
    <t>Prof. J. V. Singh/
Dr.MonikaAgarwal</t>
  </si>
  <si>
    <t>Prof. Sandeep Kumar/
Prof.M.M.Goel</t>
  </si>
  <si>
    <t>Prof. Sandeep Bhattcharya</t>
  </si>
  <si>
    <t>Prof. Amod Kumar Sachan</t>
  </si>
  <si>
    <t>Prof. Tulika Chandra</t>
  </si>
  <si>
    <t xml:space="preserve">Prof. S.C. Tiwari </t>
  </si>
  <si>
    <t>Prof.Sandeep Bhattacharya</t>
  </si>
  <si>
    <t>Prof. M.L.B. Bhatt</t>
  </si>
  <si>
    <t>Dr. R.K.Garg</t>
  </si>
  <si>
    <t>Prof. Nassem Jamal</t>
  </si>
  <si>
    <t>Dr. A.K.Singh</t>
  </si>
  <si>
    <t>Dr. Rajesh Verma</t>
  </si>
  <si>
    <t>Dr. Ajai Singh</t>
  </si>
  <si>
    <t>Dr. Saumyendra V. Singh</t>
  </si>
  <si>
    <t>Prof.Sanjay Khattri</t>
  </si>
  <si>
    <t xml:space="preserve">Dr. Saumeyendra V. Singh </t>
  </si>
  <si>
    <t>Dr. Deeksha Arya</t>
  </si>
  <si>
    <t>Prof. Yasodhra Pradeep</t>
  </si>
  <si>
    <t>Prof. Sunita Singh</t>
  </si>
  <si>
    <t>Prof. Shyam Pyari Jaiswar</t>
  </si>
  <si>
    <t>SRF. Ms. Kavita Baghel. Tumar necrosis factor alpha gene polymorphism and sepsis susceptibility in surgical patients.</t>
  </si>
  <si>
    <t>Polymorphism of candidate gene in relation to Osteoporosis and osteoarthritis knee A case control study .</t>
  </si>
  <si>
    <t>Hydrocephalus in tuberculous meningitis incidence itsv predictive factors and impact on the prognosis.</t>
  </si>
  <si>
    <t>National Mental Health Programe - Release of grant under Manpower Devlopment scheme (Scheme-B).</t>
  </si>
  <si>
    <t>A study of impact of behavioral intervention onillness breedding behaviour .</t>
  </si>
  <si>
    <t>Prof. Rajendera Prasad</t>
  </si>
  <si>
    <t>Prof. Sandeep Kumar /Prof.M.M.Goel</t>
  </si>
  <si>
    <t>Prof. Monika Kohli</t>
  </si>
  <si>
    <t>Dr. Vani Gupta</t>
  </si>
  <si>
    <t>Prof. A.A.Mehdi</t>
  </si>
  <si>
    <t>Prof. Annu Makkar</t>
  </si>
  <si>
    <t>Prof. R. K. Singh</t>
  </si>
  <si>
    <t>Prof. Balendra Pratap Singh</t>
  </si>
  <si>
    <t>Prof. S. K. Verma</t>
  </si>
  <si>
    <t>Prof. Amita Jain/Dr.Mastan Singh</t>
  </si>
  <si>
    <t>Dr. A. K. Tripathi</t>
  </si>
  <si>
    <t>Prof. G. K. Singh</t>
  </si>
  <si>
    <t>Prof. Lav Kumar Kacker/Prof.Abhijit Chandra</t>
  </si>
  <si>
    <t>Prof. S. M. Natu</t>
  </si>
  <si>
    <t>Prof. Ashutosh Kumar</t>
  </si>
  <si>
    <t>Prof. Archna Ghildiyal</t>
  </si>
  <si>
    <t>Prof. Rajiv Garg</t>
  </si>
  <si>
    <t>Dr. Divya Sanghi</t>
  </si>
  <si>
    <t>Dr. Kirti Srivastava</t>
  </si>
  <si>
    <t>DST,New delhi</t>
  </si>
  <si>
    <t>RNTCP</t>
  </si>
  <si>
    <t>CERB</t>
  </si>
  <si>
    <t>ICSSR</t>
  </si>
  <si>
    <t>Bill &amp; Melinda Gates</t>
  </si>
  <si>
    <t>UPHSDF</t>
  </si>
  <si>
    <t>Impact of metabolic risk factors and IL-6 Promoters………..Ovarian syndrome.</t>
  </si>
  <si>
    <t>National Retinblastona Registry</t>
  </si>
  <si>
    <t>A study on the prevalence and the risk factor of chronic obstrective Pulmonary disease (COPD) in U.P.</t>
  </si>
  <si>
    <t>Comprative study of mRNA experssion and adipokines polymorphism in pre and post menopausal women and with out Metabolic Syndrome</t>
  </si>
  <si>
    <t>A case control Study to evaluate the effect of dietary factors and diet elimination and re-introduction on Bronchial Asthma</t>
  </si>
  <si>
    <r>
      <t xml:space="preserve">A case control study on clinical, bacterioplogical and radiological profile in patients of diabetes mellitus with pulmonary tuberculosis </t>
    </r>
    <r>
      <rPr>
        <sz val="12"/>
        <rFont val="Times New Roman"/>
        <family val="1"/>
      </rPr>
      <t>SRF. Ms. Hemlata</t>
    </r>
  </si>
  <si>
    <t>SRF ship of Ms. Nidhi Pandey</t>
  </si>
  <si>
    <t>To Study the role of synovial inflammation in causation of knee osteoarthritis</t>
  </si>
  <si>
    <t>"A pilot study on hetersexual transmission of hepatitis B virus and Hepatitis C virus among HIV negative and positive Married couples in North india" SRF -Ms.Neha Wal</t>
  </si>
  <si>
    <t>Association of single nucleotide polymorphism in……………..north indian population (SRF Ship of Mr. Abhishek Mishra)</t>
  </si>
  <si>
    <t>Impact of adipokine and chemokine gene polymorphism and its protein expression in metabolic syndrome</t>
  </si>
  <si>
    <t>Genetic polymorphism in androgen…………….. Prostatic hyperplasia SRF Ship- Vimal Kumar Choubey</t>
  </si>
  <si>
    <t>A randomized controlled trial to observe mellitus    JRF. Mr. Saumya Mishra</t>
  </si>
  <si>
    <t>DNA Hypermethylation in oral Cancer …………Clinicopothological Variables  SRF Mr.Vikram Bhatia</t>
  </si>
  <si>
    <t>Estimation of P- Selection (CD62P)and sHLA in random donor platelet in additive solution to increase its duration of storage.</t>
  </si>
  <si>
    <t>Study of the microbial pollutants absorbed on PM10in urban ambient air to identify new risk factors for respiratory health.SRF Ms.Rita Singh</t>
  </si>
  <si>
    <t>Epigenetic status and Aberrant expression of Maspin gene in gall stone disease and Gallbladder carcinoma.SRF-Ms.Kavita Baghel</t>
  </si>
  <si>
    <t>Expression and polymorphism pattern of Cholecystokinin receptors in Cholelithiasis and gall Bladder cancer. SRF.Hasan Raza Kazmi</t>
  </si>
  <si>
    <t>Senior Research fellow of  Ms. Shipra Bhardwaj</t>
  </si>
  <si>
    <t>SRF. Ship of Ms. Pooja Singh. Haplotype based analysis of cytokine gene polymorphism in breast cancer.</t>
  </si>
  <si>
    <t>The effect of APO A-V and LIPC promoter gene polymorphism on Circulatiotion APO A-V level and lipoproteins in indians with and without coronary artery disease SRF Ms.Pratima Verma</t>
  </si>
  <si>
    <t>Efficacy of fruit extract of Emblica-officinalis (Amla) and Piper-nigrum (piperine) against arsenic induced thymic atrophy and spleenomegaly in mice.SRF Mr.Manish Kumar Singh</t>
  </si>
  <si>
    <t>SRF. Mr. Suraj Singh Yadav. Siginificance of serum metalloproteinase 2,4,9 levels in metabolic syndrome.</t>
  </si>
  <si>
    <t>SRF. Ship of Mr. Rahul Pandey " A study on mitochondrial…… origin.</t>
  </si>
  <si>
    <t>Genetic Association of nicotine acetylcholine receptors gene polymorphisms in chronic obstructive pulmonarey disease.SRF Mr.Rajni Kant Shukla</t>
  </si>
  <si>
    <t>Association of CYP-17 (MspA1) and Transcriptional Regulatory Region of APOE gene polymorphism with Gall bladder cancer in North Indian Population.SRF Ship of Ms.Shipra Dwivedi</t>
  </si>
  <si>
    <t>High risk human papilloma Virus infection and E6/E7 m-RNA expression in Oral Squamous Cell Carcinoma and Potentially malignant Oral Lesions. SRF-Ms.Priyanka Shilpi(Non-Medical)</t>
  </si>
  <si>
    <t>Functional genomics approach to understand the importance of catsper ion channel genes in male infertility.</t>
  </si>
  <si>
    <t>(SRF Ship of Mr. Sadashiv) Association of the genetic polymorphism of Adiponectin Gene promoter with Metabolic Phenotypes in Indian subjects</t>
  </si>
  <si>
    <t>Study on Association of Oral Pre cancer with use of Pan Masala</t>
  </si>
  <si>
    <t>Elucidation of inflammatory pathways involved in septic shock</t>
  </si>
  <si>
    <t>Molecular predictive biomarkers of radioresistance in oral squamous cell…………..responsiveness to radiotherapy SRF. Mr. Shankar Sharan Singh</t>
  </si>
  <si>
    <t>The pediatric nephrotic syndrome spectrum from a genetic view point. SRF. Mr. Tabrez Jafar</t>
  </si>
  <si>
    <t>To assess peripherral biomarkers for diagnosis and prognosis of parkinson's syndrome. SRF Ms. Vineeta Gupta</t>
  </si>
  <si>
    <t>Local expression of chemokines and macrophage infiltration Role in breast cancer metastasus. SRF. Brij Nath Tewari</t>
  </si>
  <si>
    <t>Metallo beta lactamase production in pseudomonas aeruginosa……………lower respiratory tract infection. SRF. Ms. Shivani Saxena</t>
  </si>
  <si>
    <t>SRF Ms. Richa Singh Prognostic Implications…..Breast Cancer:A prospective Cohort Study</t>
  </si>
  <si>
    <r>
      <rPr>
        <sz val="12"/>
        <rFont val="Times New Roman"/>
        <family val="1"/>
      </rPr>
      <t>SRF. Mr. Anand Kumar Maurya</t>
    </r>
    <r>
      <rPr>
        <sz val="10"/>
        <rFont val="Times New Roman"/>
        <family val="1"/>
      </rPr>
      <t>, Phylogenetic analysis of multidrug reistant tuberculosis isolated in northern india</t>
    </r>
  </si>
  <si>
    <t>SRF. Ms. Jaya Nigam, To study the association of polymorphism in surviving gene with its expression in gall bladder cancer,</t>
  </si>
  <si>
    <t>SRF. Sheeba Afreen, Estimation of tregulators trace elements and vitamin B12 in peripheral blood of preeclamptic and pregnencies and compared with their umbilical cord blood</t>
  </si>
  <si>
    <t>SRF. Ms. Qulsoom Naz Alpha adducing (ADDI) and angiotensinogen (AGT) gene polymorphism in yongh Essential Hypertensive North Indians</t>
  </si>
  <si>
    <t>Evaluation of molecular methods (PCR, Immunohistochemistry) against conventional methods (histopathlogy culture AFB staining in endometrial samples) and laparoscopy in detection of genital tuberculosis infertile women ( FGTB ).</t>
  </si>
  <si>
    <t>(SRF. Mr. Prithvi Kumar Singh ) Association of inflammatolory biomarker genes polymorphism for pain severity in cancer patients</t>
  </si>
  <si>
    <t>SRF. Mr. Alok Kumar Singh Serial blood brain barrier (BBB)……………antiepileptic therapy.</t>
  </si>
  <si>
    <t>SRF. Ms. Baby Anjum " a case control study of 24 hrs…………….melatonin levels"</t>
  </si>
  <si>
    <t>SRF. Mr. Manish Kumar Pal " Micro RNA as a Biomarker……………. Overian cancer.</t>
  </si>
  <si>
    <t>SRF. Mr. Shyam Vinay sharma ' Study of autonomic and haemodynamic………………….. Lucknow city.</t>
  </si>
  <si>
    <t>The Circadian pattern of blood pressure and cardiovascular autonomic regulation in patients with coronary Heart disease and  effect of melatonin supplementation on it. SRF Mr. KSHITIJ BHARDWAJ.</t>
  </si>
  <si>
    <t>SRF. Dr. Ravi Kant Singh ' Casusality of road traffic accidents and their relationship …………Lucknow UP.</t>
  </si>
  <si>
    <t>Effect and associated………with controls.SRF.Ms.Pratibha Dixit</t>
  </si>
  <si>
    <t>Smad3 gene polymorphism and expression…………with knee osteoathritis.SRF Mr. Amar Chandra Sharma</t>
  </si>
  <si>
    <t>Preclinical study to evaluate the pharmacokinetics……..with poly herbal formulations in rats. SRF Mr. Devendra Kumar.</t>
  </si>
  <si>
    <t>A study of the effect of yogic intervention on …….in older adults. SRF. Ms. Khushbu Rani.</t>
  </si>
  <si>
    <t>SRF. Mr.Pramod Kr. Singh :Role of Omega-2 fatty acid against chronic lead induced Neurotoxicity.</t>
  </si>
  <si>
    <t>Siginificance of the PI3K/AKT,STK11/LKB1………..PCOS and infertility.</t>
  </si>
  <si>
    <t>Detection and characterization………………….asthma and its severity: A Case control study.</t>
  </si>
  <si>
    <t>Rajiv Gandhi National Fellowship  for SC candidetes to pursue M.Phil./Phd. Degree - regarding. For Ms. Suman Gautam.</t>
  </si>
  <si>
    <t>To create a newborn screening program for preventable……women of rural Uttar Pradesh.</t>
  </si>
  <si>
    <t>Isolation and characterization of antidiabetic secondary metabolites from selected plants ES Dr. Vijai Lakshmi.</t>
  </si>
  <si>
    <t>SRF. Ms. Apurva Srivastava. Genetic Predictors of Obesity.</t>
  </si>
  <si>
    <t>A study on factors influencing clinical,Bacteriological,and Radiological Outcome in pulmonary Tuberculosis patients of category I of category I of Revised National Tuberculosis Control program at tertiary care Hospital.</t>
  </si>
  <si>
    <t>Chemical Investigation of few India Medicinal Plants JRF- Keerti Ameta.</t>
  </si>
  <si>
    <t>Shri. Sachil Kumar fellowship of Rajiv Gandhi National fellowship.</t>
  </si>
  <si>
    <t>An innovation in distraction osteogenesis for mandibular regeneration using a refined transport distractor.R.A.  Sumit Kumar.</t>
  </si>
  <si>
    <t>Studies to evaluate the toxicity……with theraputic potential in viral hepatitis.</t>
  </si>
  <si>
    <t>Edentulism A cause of nutritional deficiency in elderly women.</t>
  </si>
  <si>
    <t>SRF Ship of  Mr Mahendra Pratap Singh, Clinical Trial Protocol P276-00/21/08- An open Label,Multicenter Phase II study to evaluate efficacy and safety of P276-00/21/08 in Indian subjects with recurrent,metastatic or unresectable locally advanced squamous cell carcinoma of head and neck.</t>
  </si>
  <si>
    <t>DOTS Plus Site.</t>
  </si>
  <si>
    <t>A study on knowledge attitude and practice and allopathic practitioners regarding RNTCP of India at Lucknow city.</t>
  </si>
  <si>
    <t>Pool officer Dr. Shweta Agarwal.</t>
  </si>
  <si>
    <t>Rajiv Gandhi National Fellowship for SC Candidates Ms. Monika sankhwar.</t>
  </si>
  <si>
    <t>The study of mechanisms of fluoroquinolone resistance in indian clinical isolates of mycobacterium tuberculosis.Women Scientist-Ms.Pooja Singh</t>
  </si>
  <si>
    <t>UGC-JRF. Mr. Praveen Kumar Jaiswal .</t>
  </si>
  <si>
    <t>SRF. Nisha Mani Pandey.Developing modules for cognitive engancement for Illiterate older Adults with cognitive Deficits.</t>
  </si>
  <si>
    <t>UGC. JRF. Mr. Ankur Kumar Srivastava.</t>
  </si>
  <si>
    <t>SRF.Pratibha Singh: Mutations and susceptibility to sick sinus syndrome.</t>
  </si>
  <si>
    <t>Developing Techniques for measurement of the rate of fracture healing.</t>
  </si>
  <si>
    <t>To Assess the nutritional functional and immunological changes of palliation and glutamine supplementation on patients of malignant obstructive jaundice.</t>
  </si>
  <si>
    <t>An approach for early detection of preeclampsia through various criculating biomarkers -A nested case control study.</t>
  </si>
  <si>
    <t>Increased thrombotic incidence in selected epithelial Neoplasia, a study on contributory role of defects of Protein C, Protien S, and other aniithrombotic factors (SRF Ship of Mr. Mohd. Yusuf.)</t>
  </si>
  <si>
    <t>A study Of the Role of Curcumin and TRAIL in prevention and Treatment of chronic myeloid disorder.</t>
  </si>
  <si>
    <t>Quantitative expression of Alpha synuclein Matrix Metalloproteinases Nuclear-kB and application of Support vector Machine for idiopathic Parkinson,s disease patients.</t>
  </si>
  <si>
    <t>Prospective Nested case control study of various Risk factors for RNTCP Cat-II treatment failure cases.</t>
  </si>
  <si>
    <t>three lakh seventy six thousand one hundred seventy five rupees</t>
  </si>
  <si>
    <t>three lakh seventy six thouand one hundred seventy five rupees</t>
  </si>
  <si>
    <t>5th Nov., 2009</t>
  </si>
  <si>
    <t xml:space="preserve">T.21013/15/2009-NCD/PH-I </t>
  </si>
  <si>
    <t>five lakh thirty thousand eight hundred and thirty nine rupees</t>
  </si>
  <si>
    <t>7th May, 2013</t>
  </si>
  <si>
    <t xml:space="preserve">CST/SERPD/D-371 </t>
  </si>
  <si>
    <t>upees</t>
  </si>
  <si>
    <t>four lakh eighteen thousand three hundred ninty eight r</t>
  </si>
  <si>
    <t>29th Jan.,2013</t>
  </si>
  <si>
    <t xml:space="preserve">CST/SERPD/D-3269 </t>
  </si>
  <si>
    <t>three lakh sixteen thousand rupees</t>
  </si>
  <si>
    <t>6th May, 2013</t>
  </si>
  <si>
    <t xml:space="preserve">CST/SERPD/D-361 </t>
  </si>
  <si>
    <t>two lakh six thousand rupees</t>
  </si>
  <si>
    <t xml:space="preserve">CST/SERPD/D-370 </t>
  </si>
  <si>
    <t>three lakh rupees</t>
  </si>
  <si>
    <t>CST/SERPD/D-373</t>
  </si>
  <si>
    <t>two lakhs sixteen thousand rupees</t>
  </si>
  <si>
    <t xml:space="preserve">CST/SERPD/D-369 </t>
  </si>
  <si>
    <t>three lakhs sixty six thousand rupees</t>
  </si>
  <si>
    <t xml:space="preserve"> 1st Mar., 2013</t>
  </si>
  <si>
    <t xml:space="preserve">CST/SERPD/D-3268 </t>
  </si>
  <si>
    <t>two lakhs ninty two thousand rupees</t>
  </si>
  <si>
    <t>11th Sep., 2012</t>
  </si>
  <si>
    <t>CST/SERPD/D-1195</t>
  </si>
  <si>
    <t xml:space="preserve">25th Oct.,2012 </t>
  </si>
  <si>
    <t>CST/SERPD/D-1672</t>
  </si>
  <si>
    <t>sixty thousand rupees</t>
  </si>
  <si>
    <t>seven hundred thirty four rupees</t>
  </si>
  <si>
    <t>10th Sep., 2012</t>
  </si>
  <si>
    <t>CST/SERPD/D-1192</t>
  </si>
  <si>
    <t>three lakh thirty thousand four hundred ninty nine rupees</t>
  </si>
  <si>
    <t>27th Sep., 2011</t>
  </si>
  <si>
    <t>CST/SERPD/D-1391</t>
  </si>
  <si>
    <t>six lakhs seven thousand four hundred sixty seven rupees</t>
  </si>
  <si>
    <t>two lakhs ninty five thousand six hundred ninty five rupees</t>
  </si>
  <si>
    <t>three lakhs nineteen thousand five hundred thirty one rupees</t>
  </si>
  <si>
    <t>two lakh twenty four thousand sixty rupees</t>
  </si>
  <si>
    <t>three lakhs twenty five thousand sixty six rupees</t>
  </si>
  <si>
    <t>two lakhs ninty six thousand five hundred thirty three rupees</t>
  </si>
  <si>
    <t>eleven thousand forty nine rupees</t>
  </si>
  <si>
    <t>two lakh sevety four thousand forty eight rupees</t>
  </si>
  <si>
    <t>three lakhs thirty thousand six hundred and forty four rupees</t>
  </si>
  <si>
    <t xml:space="preserve"> 12/03/10</t>
  </si>
  <si>
    <t xml:space="preserve">CST/SERPD/D-3201 </t>
  </si>
  <si>
    <t>one lakh eighty thousand three hundred eighteen rupees</t>
  </si>
  <si>
    <t>two lakh forty eight thousand five hundred thirty eight rupees</t>
  </si>
  <si>
    <t>three lakh eleven thousand one hundred eighty three rupees</t>
  </si>
  <si>
    <t>19th July, 2012</t>
  </si>
  <si>
    <t xml:space="preserve">09/910(0009/2010-EMR-I </t>
  </si>
  <si>
    <t>three lakh twenty two thousand five hundred twenty rupees</t>
  </si>
  <si>
    <t>three lakh sixty seven thousand seven hundred ninty rupees</t>
  </si>
  <si>
    <t>DST/SSTP/R&amp;D/UP/2012-13/12th Plan/08</t>
  </si>
  <si>
    <t>five lakh rupees</t>
  </si>
  <si>
    <t>dt.11/10/2013</t>
  </si>
  <si>
    <t xml:space="preserve">SB/EMEQ-268/29013 </t>
  </si>
  <si>
    <t>ten lakh rupees</t>
  </si>
  <si>
    <t xml:space="preserve"> 18th Aug., 2013</t>
  </si>
  <si>
    <t xml:space="preserve">SR/SO/HS-0219/2010 </t>
  </si>
  <si>
    <t>two lakh eighty thousand one hundred forty rupees</t>
  </si>
  <si>
    <t xml:space="preserve"> 14th Mar.,2013</t>
  </si>
  <si>
    <t xml:space="preserve">09/910(0010)/2112-EMR-I </t>
  </si>
  <si>
    <t>one lakh sixty thousand five hundred forty rupees</t>
  </si>
  <si>
    <t xml:space="preserve"> 14th Mar., 2013</t>
  </si>
  <si>
    <t xml:space="preserve">20-6/2009(i)EU-IV </t>
  </si>
  <si>
    <t>Mar.,2013</t>
  </si>
  <si>
    <t>BT/PR3483/MED/12/526/2011</t>
  </si>
  <si>
    <t>three lakhs twenty thousand four hundred rupees</t>
  </si>
  <si>
    <t>4th Mar., 2013</t>
  </si>
  <si>
    <t xml:space="preserve">1-1 (Policy)/2012-13/PDF </t>
  </si>
  <si>
    <t>four lakh seventy nine thousand nine hundred thirty three rupees</t>
  </si>
  <si>
    <t>dated 17th Aug., 2012</t>
  </si>
  <si>
    <t xml:space="preserve">DST/INSPIRE Fellowship/2012/30 </t>
  </si>
  <si>
    <t>ninteen thousand nine hundred ten rupees</t>
  </si>
  <si>
    <t xml:space="preserve"> 24th June,2011</t>
  </si>
  <si>
    <t xml:space="preserve">BT/PR15153/GBD/27/343/2011 (Order-I) </t>
  </si>
  <si>
    <t>31st Dec., 2012</t>
  </si>
  <si>
    <t xml:space="preserve">SERB/F/5400/2012-13 </t>
  </si>
  <si>
    <t>six lakhs forty eight thousand nine hundred ninty two rupees</t>
  </si>
  <si>
    <t xml:space="preserve"> 1st May, 2012</t>
  </si>
  <si>
    <t xml:space="preserve">B-11616 (Pool Sec.) </t>
  </si>
  <si>
    <t>two lakhs forty five thousand four hundred rupees</t>
  </si>
  <si>
    <t>three lakhs sixty thousand rupees</t>
  </si>
  <si>
    <t xml:space="preserve"> 13th June, 2012</t>
  </si>
  <si>
    <t xml:space="preserve">ERIP/ER/1200426/M/01/1435 </t>
  </si>
  <si>
    <t>five akhs eighty thousand rupees</t>
  </si>
  <si>
    <t>8th Sept., 2010</t>
  </si>
  <si>
    <t xml:space="preserve">F.16-1936(SC)/2010(SA-III) </t>
  </si>
  <si>
    <t>two lakh seventy nine thousand two hundred rupees</t>
  </si>
  <si>
    <t xml:space="preserve"> 01/03/2012 </t>
  </si>
  <si>
    <t xml:space="preserve">09/910 (0006)/2012-EMR-I </t>
  </si>
  <si>
    <t>two lakhs thirty seven thousand rupees</t>
  </si>
  <si>
    <t>1st April, 2010</t>
  </si>
  <si>
    <t>F.15-9(June 2010)/2010(NET)</t>
  </si>
  <si>
    <t>thirty thousand rupees</t>
  </si>
  <si>
    <t>two lakh seventy six thousand eight hundred rupees</t>
  </si>
  <si>
    <t>five lakh thirty eight thousand rupees</t>
  </si>
  <si>
    <t>eleven lakhs nineteen thousand six hundred four rupees</t>
  </si>
  <si>
    <t xml:space="preserve"> dated 14/09/11</t>
  </si>
  <si>
    <t xml:space="preserve">ERIP/ER/1103953M/01/1361 </t>
  </si>
  <si>
    <t>eight lakh rupees</t>
  </si>
  <si>
    <t>2nd May, 2011</t>
  </si>
  <si>
    <t>17-7/2011(SA-I)</t>
  </si>
  <si>
    <t>five lakhs twenty three thousand rupees</t>
  </si>
  <si>
    <t>30th Mar., 2009</t>
  </si>
  <si>
    <t>CST/SERPD/D-3421</t>
  </si>
  <si>
    <t>two lakhs seventy nine thousand two hundred rupees</t>
  </si>
  <si>
    <t xml:space="preserve"> 17th Mar., 2011</t>
  </si>
  <si>
    <t xml:space="preserve">09/910(0004)2010-EMR-1 </t>
  </si>
  <si>
    <t>fiften lakhs forty six thousand four hundred rupees</t>
  </si>
  <si>
    <t>13th Dec.,2010</t>
  </si>
  <si>
    <t>BT/PR14138/MED/12/472/2010</t>
  </si>
  <si>
    <t>four lakh fifty six thousand one hundred sixty two rupees</t>
  </si>
  <si>
    <t>23rd Dec., 2010</t>
  </si>
  <si>
    <t xml:space="preserve">21(0826)10/EMR-II </t>
  </si>
  <si>
    <t>five lakhs eighty seven thousand five hundred rupees</t>
  </si>
  <si>
    <t>15th Sep., 2009</t>
  </si>
  <si>
    <t>BT/PR13637/MED/29/172/2010</t>
  </si>
  <si>
    <t>Z28015/63/2012-HPC (EMR)-Ayush-C</t>
  </si>
  <si>
    <t>sixty six thousand two hundred fifteen rupees</t>
  </si>
  <si>
    <t>two lakh thirty one thousand one hundred forty rupees</t>
  </si>
  <si>
    <t xml:space="preserve">1st Oct., 2012 </t>
  </si>
  <si>
    <t xml:space="preserve">5/9/1048/2012-RHN </t>
  </si>
  <si>
    <t>one lakh eighteen thousand four hundred twenty rupees</t>
  </si>
  <si>
    <t xml:space="preserve">4th Oct., 2011  </t>
  </si>
  <si>
    <t xml:space="preserve">3/2/2/65/2011/NCD-III  </t>
  </si>
  <si>
    <t>one lakh eighteen thousand rupees</t>
  </si>
  <si>
    <t>3rd Sept.,2013</t>
  </si>
  <si>
    <t xml:space="preserve">45/19/2012/BMS/TRM </t>
  </si>
  <si>
    <t>two lakh eighty eight thousand four hundred rupees</t>
  </si>
  <si>
    <t>8th Nov., 2013</t>
  </si>
  <si>
    <t xml:space="preserve">61/10/2012-BMS </t>
  </si>
  <si>
    <t>one lakh thirty nine thousand six hundred rupees</t>
  </si>
  <si>
    <t xml:space="preserve">29th Aug., 2013 </t>
  </si>
  <si>
    <t xml:space="preserve">80/764/2012-ECD-I </t>
  </si>
  <si>
    <t>two lakh nine thousand four hundred rupees</t>
  </si>
  <si>
    <t>24th June, 2013</t>
  </si>
  <si>
    <t xml:space="preserve">45/25/2012-Hum/BMS </t>
  </si>
  <si>
    <t>three lakh fifteen thousand two hundred rupees</t>
  </si>
  <si>
    <t>two lakhs sventy nine thousand two hundred rupees</t>
  </si>
  <si>
    <t>25th Mar., 2013</t>
  </si>
  <si>
    <t xml:space="preserve">45/75/2012-PHA-BMS </t>
  </si>
  <si>
    <t>two lakh fifty six thousand nine hundred sixteen rupees</t>
  </si>
  <si>
    <t xml:space="preserve"> 31st  Oct., 2012</t>
  </si>
  <si>
    <t xml:space="preserve">3/1/2/3(ortho) 12-NCD-I </t>
  </si>
  <si>
    <t>12th Mar., 2013</t>
  </si>
  <si>
    <t xml:space="preserve">45/3/2012-BMS/CMB </t>
  </si>
  <si>
    <t>two lakhs two thousand six hundred forty five rupees</t>
  </si>
  <si>
    <t xml:space="preserve"> 2nd Jan., 2013</t>
  </si>
  <si>
    <t xml:space="preserve">3/1/2/20/12-RCH </t>
  </si>
  <si>
    <t>three lakh fifteen thousand rupees</t>
  </si>
  <si>
    <t>28th Nov.,13</t>
  </si>
  <si>
    <t>VIR/24/2011/ECD-I</t>
  </si>
  <si>
    <t>two lakhs sixty eight thousand five hundred eighty four rupees</t>
  </si>
  <si>
    <t xml:space="preserve">  15th Feb., 2013</t>
  </si>
  <si>
    <t xml:space="preserve">3/1/2/2/Trauma/2012-NCD-I  </t>
  </si>
  <si>
    <t>twenty five lakhs twenty one thousand eight hundred eight rupees</t>
  </si>
  <si>
    <t>11th Mar., 2013</t>
  </si>
  <si>
    <t xml:space="preserve">30/3/47/2008/ECD-II </t>
  </si>
  <si>
    <t>sixe  lakhs forty one thousand nine hundred ninty four rupees</t>
  </si>
  <si>
    <t>3/1/2/35/10-RHN dated 19/05/2011</t>
  </si>
  <si>
    <t>two lakh fifty five thousand nine hundred thirty three rupees</t>
  </si>
  <si>
    <t xml:space="preserve">03/1/2/3/8(ENV) 12-NCD-1 </t>
  </si>
  <si>
    <t>two lakh seventy three thousand two hundred ten rupees</t>
  </si>
  <si>
    <t xml:space="preserve"> 30th Aug., 2012 </t>
  </si>
  <si>
    <t xml:space="preserve">03/2/2/136/2012/NCD-III </t>
  </si>
  <si>
    <t>one lakh sixteen thousand three hundred thirty three rupees</t>
  </si>
  <si>
    <t xml:space="preserve"> dated 26/06/2012 </t>
  </si>
  <si>
    <t>3/1/2/05(Env)11-NCD-I</t>
  </si>
  <si>
    <t>eighteen lakhs forty seven thousand five hundred thirty rupees</t>
  </si>
  <si>
    <t xml:space="preserve"> 8th Nov.,2012</t>
  </si>
  <si>
    <t xml:space="preserve">VIR/29/2011-ECD-I </t>
  </si>
  <si>
    <t xml:space="preserve"> </t>
  </si>
  <si>
    <t xml:space="preserve"> 4th Oct., 2012 </t>
  </si>
  <si>
    <t xml:space="preserve">3/1/2/28/Neuro/2012-NCD-I </t>
  </si>
  <si>
    <t xml:space="preserve">10th Oct., 2012 </t>
  </si>
  <si>
    <t xml:space="preserve">3/2/2/131/2012/NCD-III </t>
  </si>
  <si>
    <t>twelve lakh forty four thousand three hundred seventy three rupees</t>
  </si>
  <si>
    <t>17th Oct., 2012</t>
  </si>
  <si>
    <t xml:space="preserve">RHN/NTF/12012-13 </t>
  </si>
  <si>
    <t xml:space="preserve">23rd Aug., 2012 </t>
  </si>
  <si>
    <t xml:space="preserve">3/1/2(9) CVD/2012-NCD-II </t>
  </si>
  <si>
    <t xml:space="preserve">three lakhs forty nine thousand rupees </t>
  </si>
  <si>
    <t xml:space="preserve"> 25th July, 2012</t>
  </si>
  <si>
    <t xml:space="preserve">3/2/130/2012/NCD-III </t>
  </si>
  <si>
    <t>one lakh seventy nine thousand four hundred seventy eight rupees</t>
  </si>
  <si>
    <t>three lakhs eleven thousand three hundred sixty three rupees</t>
  </si>
  <si>
    <t>28th June, 2012</t>
  </si>
  <si>
    <t xml:space="preserve">3/2/2/119/2012-NCD-III </t>
  </si>
  <si>
    <r>
      <t>3</t>
    </r>
    <r>
      <rPr>
        <vertAlign val="superscript"/>
        <sz val="9"/>
        <rFont val="Book Antiqua"/>
        <family val="1"/>
      </rPr>
      <t>rd</t>
    </r>
    <r>
      <rPr>
        <sz val="9"/>
        <rFont val="Book Antiqua"/>
        <family val="1"/>
      </rPr>
      <t xml:space="preserve"> July, 2012 </t>
    </r>
  </si>
  <si>
    <t xml:space="preserve">80/712/2011-ECD-1 </t>
  </si>
  <si>
    <t>15th Mar., 2012</t>
  </si>
  <si>
    <t xml:space="preserve">45/19/2011-BMS/BIF  </t>
  </si>
  <si>
    <t>three lakhs forty eight thousand nine hundred eighty six rupees</t>
  </si>
  <si>
    <t>11th May, 2012</t>
  </si>
  <si>
    <t>3/2/2/118/2012-NCD-III</t>
  </si>
  <si>
    <r>
      <t xml:space="preserve"> dated 6</t>
    </r>
    <r>
      <rPr>
        <vertAlign val="superscript"/>
        <sz val="9"/>
        <rFont val="Book Antiqua"/>
        <family val="1"/>
      </rPr>
      <t>th</t>
    </r>
    <r>
      <rPr>
        <sz val="9"/>
        <rFont val="Book Antiqua"/>
        <family val="1"/>
      </rPr>
      <t xml:space="preserve"> Mar., 2012</t>
    </r>
  </si>
  <si>
    <t xml:space="preserve">3/1/2/17/Neuro/2011-NCD-I  </t>
  </si>
  <si>
    <t>one lakh seventy five thousand six hundred rupees</t>
  </si>
  <si>
    <t>dated 28th Mar., 2012</t>
  </si>
  <si>
    <t xml:space="preserve">45/28/2011-HUM/BMS </t>
  </si>
  <si>
    <t xml:space="preserve"> dated 29/03/2012</t>
  </si>
  <si>
    <t xml:space="preserve">3/2/2/68/2011-NCD-III, </t>
  </si>
  <si>
    <t>sixty six thousand two hundred rupees</t>
  </si>
  <si>
    <t>three lakh fifty thousand seventy nine rupees</t>
  </si>
  <si>
    <t>seventy seven thousand rupees</t>
  </si>
  <si>
    <t>seven lakhs ninty seven thousand one hundred sixty rupees</t>
  </si>
  <si>
    <t>seventeen lakh six thousand nine hundred eighty three rupees</t>
  </si>
  <si>
    <t>2nd Feb., 2012</t>
  </si>
  <si>
    <t xml:space="preserve">5/7/513/11 RHN </t>
  </si>
  <si>
    <t xml:space="preserve"> 25th  Oct., 2011.</t>
  </si>
  <si>
    <t xml:space="preserve">3/2/2/89/2011/NCD-III  </t>
  </si>
  <si>
    <t>four lakh thirty two thousand three hundred forty seven rupees</t>
  </si>
  <si>
    <t>4th Oct., 2011</t>
  </si>
  <si>
    <r>
      <t>3/2/2/65/2011/NCD-III  dated 4</t>
    </r>
    <r>
      <rPr>
        <vertAlign val="superscript"/>
        <sz val="11"/>
        <color theme="1"/>
        <rFont val="Calibri"/>
        <family val="2"/>
        <scheme val="minor"/>
      </rPr>
      <t>th</t>
    </r>
    <r>
      <rPr>
        <sz val="11"/>
        <color theme="1"/>
        <rFont val="Calibri"/>
        <family val="2"/>
        <scheme val="minor"/>
      </rPr>
      <t xml:space="preserve"> Oct., 2011  </t>
    </r>
  </si>
  <si>
    <t>three lakh fifty one thousand five hundred forty six rupees</t>
  </si>
  <si>
    <t>three akh four thousand rupees</t>
  </si>
  <si>
    <t>29th July, 2011</t>
  </si>
  <si>
    <t xml:space="preserve">3/2/2/43/2010-NCD-III  </t>
  </si>
  <si>
    <t>sixteen lakhs twenty six thousand eiht hundred sixty three rupees</t>
  </si>
  <si>
    <t>52/15/2008/BMS</t>
  </si>
  <si>
    <t>two lakh ninty three thousand six hundred rupees</t>
  </si>
  <si>
    <t xml:space="preserve">29th Aug., 2011 </t>
  </si>
  <si>
    <t xml:space="preserve">3/1/2/(12)/CVD/2011-NCD-II </t>
  </si>
  <si>
    <t>three lakhs ninty three thousand eight hundred sixty five rupees</t>
  </si>
  <si>
    <r>
      <t>23</t>
    </r>
    <r>
      <rPr>
        <vertAlign val="superscript"/>
        <sz val="11"/>
        <color theme="1"/>
        <rFont val="Times New Roman"/>
        <family val="1"/>
      </rPr>
      <t>rd</t>
    </r>
    <r>
      <rPr>
        <sz val="11"/>
        <color theme="1"/>
        <rFont val="Times New Roman"/>
        <family val="1"/>
      </rPr>
      <t xml:space="preserve"> May, 2011</t>
    </r>
  </si>
  <si>
    <t xml:space="preserve">.3/2/2/72/2011-NCD-III </t>
  </si>
  <si>
    <t>one lakh forty nine thousand two hundred rupees</t>
  </si>
  <si>
    <t xml:space="preserve"> 19/05/2011</t>
  </si>
  <si>
    <t xml:space="preserve">3/1/2/35/10-RHN </t>
  </si>
  <si>
    <t>ten lakhs eighty three thousand eight hundred fifteen rupees</t>
  </si>
  <si>
    <t>15th April, 2011</t>
  </si>
  <si>
    <t>TF/2010/01/HSR/5</t>
  </si>
  <si>
    <t>thirteen lakhs thirty thousand nine hundred ninty two rupees</t>
  </si>
  <si>
    <t>four lakhs seventy seven thousand two hundred eighty one rupees</t>
  </si>
  <si>
    <t>29th Mar., 2011</t>
  </si>
  <si>
    <t>5/8/3(7)/2010-ECD-I</t>
  </si>
  <si>
    <t>two lakh twenty seven thousand one hundred twenty eight rupees</t>
  </si>
  <si>
    <t>two lakh rupees</t>
  </si>
  <si>
    <t>28th Oct.,2010</t>
  </si>
  <si>
    <t>RHN/NTF/2/2010</t>
  </si>
  <si>
    <t>ten lakhs nine thousand eight hundred ninty four rupees</t>
  </si>
  <si>
    <t>two lakh forty two thousand six hundred fifty four rupees</t>
  </si>
  <si>
    <t>21st Jan., 2011</t>
  </si>
  <si>
    <t>5/4/1-12/09-NCD-II</t>
  </si>
  <si>
    <t>one lakh fifty one thousand rupees</t>
  </si>
  <si>
    <t>four lakh twenty one thousand nine hundred thirty rupees</t>
  </si>
  <si>
    <t xml:space="preserve">  08/11/2010</t>
  </si>
  <si>
    <t xml:space="preserve">3/1/2/4/(Env)/10-NCD-I </t>
  </si>
  <si>
    <t>three lakh sixty five thousand five hundred twenty six rupees</t>
  </si>
  <si>
    <t>two lakh seventy nine thousand seven hundred sixty five rupees</t>
  </si>
  <si>
    <t>18/08/2010</t>
  </si>
  <si>
    <t xml:space="preserve">3/2/2/14/2010/NCD-III </t>
  </si>
  <si>
    <t>four lakh fifteen thousand two hudred ninty one rupees</t>
  </si>
  <si>
    <t xml:space="preserve"> 01/09/2010 </t>
  </si>
  <si>
    <t>3/1/3 JRF-2010/MPD</t>
  </si>
  <si>
    <t>two lakh thirty one thusand rupees</t>
  </si>
  <si>
    <t xml:space="preserve"> 27th Dec., 2010</t>
  </si>
  <si>
    <t xml:space="preserve">3/1/2/(10)/URO/10 NCD-II </t>
  </si>
  <si>
    <t>nine lakhs twenty six thousand eight hundred ninty rupees</t>
  </si>
  <si>
    <t>four lakhs one hundred ninty two rupees</t>
  </si>
  <si>
    <t>26th Nov., 2010</t>
  </si>
  <si>
    <t xml:space="preserve">5/7/400/09-RHN </t>
  </si>
  <si>
    <t>six lakhs thirty five thousand one hundred fifty eight rupees</t>
  </si>
  <si>
    <t>22nd Sep., 2010</t>
  </si>
  <si>
    <t xml:space="preserve">5/4-5/5/2 Ortho/2009-NCD-I </t>
  </si>
  <si>
    <t>four lakhs forty thousand nine hundred thirty four rupees</t>
  </si>
  <si>
    <t>three lakhs sixty six thousand two hundred sixty seven rupees</t>
  </si>
  <si>
    <t>eight lakh forty four thousand eighty rupees</t>
  </si>
  <si>
    <t>fifty seven lakhs fifty thousand seven hundred and seventy seven rupees</t>
  </si>
  <si>
    <t xml:space="preserve"> 3rd Mar., 2010</t>
  </si>
  <si>
    <t xml:space="preserve">5/8/7/4/2010-ECD-1 </t>
  </si>
  <si>
    <t>sixty nine lakh ninty thousand two hundred and eighty rupees</t>
  </si>
  <si>
    <t>15th Sep., 2011</t>
  </si>
  <si>
    <t xml:space="preserve">5/8/7/17/2010-ECD-I </t>
  </si>
  <si>
    <t>one lakh twenty eight thousand three hundred and thirty rupees</t>
  </si>
  <si>
    <t>three lakh eight thousand rupees</t>
  </si>
  <si>
    <t>ten lakhs nine thousand five hundred seventy six rupees</t>
  </si>
  <si>
    <t>fifty thousand rupees</t>
  </si>
  <si>
    <t>thirty lakhs seventy three thousand six hundred fifty three rupees</t>
  </si>
  <si>
    <t>17th Feb.,1981</t>
  </si>
  <si>
    <t xml:space="preserve">CTU/1/4/80-RB </t>
  </si>
  <si>
    <t>eight lakh ninty four thousand nine hundred ninty four rupees</t>
  </si>
  <si>
    <t>twenty nine lakh rupees</t>
  </si>
  <si>
    <t>five lakhs eighteen thousand six hundred forty five rupees</t>
  </si>
  <si>
    <t>three lakh forty eight thousand rupees</t>
  </si>
  <si>
    <t>two lakh ninty eight thousand rupees</t>
  </si>
  <si>
    <t>sixteen thousand rupees</t>
  </si>
  <si>
    <t>three lakh seventeen thousand one hundred forty seven rupees</t>
  </si>
  <si>
    <t>one lakh ninty eight thousand rupees</t>
  </si>
  <si>
    <t>seven lakhs fourteen thouand rupees</t>
  </si>
  <si>
    <t xml:space="preserve">two lakhs ninty seven thousand eight hundred eighty four rupees </t>
  </si>
  <si>
    <t>six lakhs fourteen thousand rupees</t>
  </si>
  <si>
    <t>two lakh eighty one thousand seventy eight rupees</t>
  </si>
  <si>
    <t>thee lakh fifteen thousand six hundred sixty one rupees</t>
  </si>
  <si>
    <t>eighteen thousand rupees</t>
  </si>
  <si>
    <t>two lakhs thirty six thusand rupees</t>
  </si>
  <si>
    <t>sixeen thousand rupees</t>
  </si>
  <si>
    <t>five thousand rupees</t>
  </si>
  <si>
    <t xml:space="preserve">one lakh rupees </t>
  </si>
  <si>
    <t>sixty thousand  rupees</t>
  </si>
  <si>
    <t>one lakh forty five thousand three hundred sixty five rupees</t>
  </si>
  <si>
    <t>three lakhs fifty three thousand and two hundred rupees</t>
  </si>
  <si>
    <t>forty two lakhs eighty three tousand one hundred eighty five rupees</t>
  </si>
  <si>
    <t>ten lakh thirty three thousand five hundred rupees</t>
  </si>
  <si>
    <t>five lakhs seventy six thousand one hundres thirty nine rupees</t>
  </si>
  <si>
    <t>ninelakhs fifty and two hundred and seventy eight rupees</t>
  </si>
  <si>
    <t>three lakh seventy two thousand rupees</t>
  </si>
  <si>
    <t xml:space="preserve"> nine lakhs eighty   thousand rupees</t>
  </si>
  <si>
    <t xml:space="preserve">seven lakh thirty thousand </t>
  </si>
  <si>
    <t>two lakh forty five thousand four hundred rupees</t>
  </si>
  <si>
    <t xml:space="preserve"> 13th May, 2014</t>
  </si>
  <si>
    <t xml:space="preserve">SB/YS/LS-265/2013 </t>
  </si>
  <si>
    <t>one lakh fifty four thousand rupees</t>
  </si>
  <si>
    <t>five lakh twenty seven thousand eight hundred and twenty rupees</t>
  </si>
  <si>
    <t xml:space="preserve">three lakh fifty thousand </t>
  </si>
  <si>
    <t>two lakhs nine thousand four hundred rupees</t>
  </si>
  <si>
    <t>six lakhs ninty five  thousand three hundred and ninty eight  rupees</t>
  </si>
  <si>
    <t>five lakh seventy thousand four hundred fourteen rupees</t>
  </si>
  <si>
    <t>seven lakhs twenty six thousand two hundred fifty three rupees</t>
  </si>
  <si>
    <t>forty one  lakh fifty one thousand three hundred ten rupees</t>
  </si>
  <si>
    <t>three   lakh sixty eight thousand five hundred fifteen rupees</t>
  </si>
  <si>
    <t>forty thousand one hundred eighty rupees</t>
  </si>
  <si>
    <t>five lakh seventy five thousand one hundred fifty two rupees</t>
  </si>
  <si>
    <t>four lakh fifteen thousand sixty nine rupees</t>
  </si>
  <si>
    <t>one lakh forty two thousand four hundred and eighty rupees</t>
  </si>
  <si>
    <t>three lakh fifty nine thousand six hundred and seventy six rupees</t>
  </si>
  <si>
    <t>eight lakhs thirty six thousand three hundred and sixty rupees</t>
  </si>
  <si>
    <t>one lakh seventy five thousand rupees</t>
  </si>
  <si>
    <t xml:space="preserve"> 02 June 2014</t>
  </si>
  <si>
    <t xml:space="preserve">45/28/2013/ BMS/TRM </t>
  </si>
  <si>
    <t>one lakh five thousand sixty two rupees</t>
  </si>
  <si>
    <t>ten lakh ninty thousand seventy one rupees</t>
  </si>
  <si>
    <t>five lakh fifty two thousand seven hundred and thorty six rupees</t>
  </si>
  <si>
    <t>fife lakh sixty one thousand three hundred and thirty three rupees</t>
  </si>
  <si>
    <t>16th Jan., 2014</t>
  </si>
  <si>
    <t xml:space="preserve">45/9/2013-Nan/BMS </t>
  </si>
  <si>
    <t>two lakhs seventy nine thosand two hundred rupees</t>
  </si>
  <si>
    <t>4th Mar., 2014</t>
  </si>
  <si>
    <t xml:space="preserve">45/7/2013-HAE-BNS </t>
  </si>
  <si>
    <t>five lakh twenty three thousand seven hundred and three rupees</t>
  </si>
  <si>
    <t xml:space="preserve"> 18 Dec. 2013 </t>
  </si>
  <si>
    <t xml:space="preserve">3/1/2/(7)Oral 13/NCD-II </t>
  </si>
  <si>
    <t xml:space="preserve">06 Feb. 2014 </t>
  </si>
  <si>
    <t xml:space="preserve">45/2012-PHY-BMS </t>
  </si>
  <si>
    <t>nine lakhs fifty six thousand six hundred and eighty six rupees</t>
  </si>
  <si>
    <t>six lakhs fifity four thousand four hundred rupees</t>
  </si>
  <si>
    <t>thirty nine thousand four hundred and twenty eight rupees</t>
  </si>
  <si>
    <t>twelve lakhs seventy two thousand two hundred fifty nine rupees</t>
  </si>
  <si>
    <t>five lakh sixty two thousand eight hundred rupees</t>
  </si>
  <si>
    <t>three lakh twenty nine thousand six hundred rupees</t>
  </si>
  <si>
    <t>seven lakh forty nine thousand one hundred and twenty rupees</t>
  </si>
  <si>
    <t>three lakh forty nine thousand rupees</t>
  </si>
  <si>
    <t>sixty nine thousand eight hundred rupees</t>
  </si>
  <si>
    <t>thirty six thousand rupees</t>
  </si>
  <si>
    <t>three lakh fifty three thousand nine hundred and ninty nine rupees</t>
  </si>
  <si>
    <t>three lakh fifty eight thousand and fourteen rupees</t>
  </si>
  <si>
    <t>four lakhs eighteen thousand eght hundred rupees</t>
  </si>
  <si>
    <t>three lakhs ninty thousand nine hundred and fifty eight rupees</t>
  </si>
  <si>
    <t>thirteen lakhs thirty nine thousand seven hundred and eighteen rupees</t>
  </si>
  <si>
    <t>six lakhs ninty thousand three hundred and seventy five rupees</t>
  </si>
  <si>
    <t>five lakhs fifty two thousand and sisty six rupees</t>
  </si>
  <si>
    <t>four lakhs eighty thousand six hundred and eighty five rupees</t>
  </si>
  <si>
    <t>five lakhs twenty six thousand nine hundred and ninty nine rupees</t>
  </si>
  <si>
    <t>seventeen lakhs sixty one thusand and nine rupees</t>
  </si>
  <si>
    <t>three lakhs sixteen thousand eight hundred and sixty seven rupees</t>
  </si>
  <si>
    <t>four lakh fifty six thousand nine hundred and ninty rupees</t>
  </si>
  <si>
    <t>seventeen lakhs sixty seven thousand seven hundred and eighty nine rupees</t>
  </si>
  <si>
    <t>one lakh thirty nine thousand and six hundred rupees</t>
  </si>
  <si>
    <t>one akh eighty six thousand one hundred and thirty three rupees</t>
  </si>
  <si>
    <t>two lakhs ninty six thousand seven hundred and seventy four rupees</t>
  </si>
  <si>
    <t>two lakhs fifty two thousand four hundred and forty five rupees</t>
  </si>
  <si>
    <t>two lakh eighty four thousand rupees</t>
  </si>
  <si>
    <t>three lakh four thousand two hundred and six rupees</t>
  </si>
  <si>
    <t>three lakhs five thousand six hindred and one rupees</t>
  </si>
  <si>
    <t>twenty three lakh thirty thousand four hundred and nineteen rupees</t>
  </si>
  <si>
    <t>two lakh thirtythousand one hundred and ninty nine rupees</t>
  </si>
  <si>
    <t>29/03/2012</t>
  </si>
  <si>
    <t>3/2/2/68/2011-NCD-III</t>
  </si>
  <si>
    <t>twenty four lakhs twenty two thousand seven hundred and twenty six rupees</t>
  </si>
  <si>
    <t>two lakhs seventy nine thousand nine hundred and twenty five rupees</t>
  </si>
  <si>
    <t>one lakh ninty eight thousand eight hundred and sixty seven rupees</t>
  </si>
  <si>
    <t>four lakh thirty one thousand two hundred and fifty four rupees</t>
  </si>
  <si>
    <t>two lakh thirty one thousand rupees</t>
  </si>
  <si>
    <t xml:space="preserve">dated 29th Aug., 2011 </t>
  </si>
  <si>
    <t xml:space="preserve">3/1/2/(12)/CVD/2011-NCD-II  </t>
  </si>
  <si>
    <t>one lakh fiftu four thousand rupees</t>
  </si>
  <si>
    <t>seven lakhs twenty six thousand two hundred and seventeen rupees</t>
  </si>
  <si>
    <t>four lakh twenty three thousand four hundred and seventy seven rupees</t>
  </si>
  <si>
    <t>four lakh forty five thousand one hundred and six rupees</t>
  </si>
  <si>
    <t>one lakh fifteen thousand seven hundred and ten rupees</t>
  </si>
  <si>
    <t>twenty one lakh ninty thousand four hundred and nine rupees</t>
  </si>
  <si>
    <t>4th Jan., 2011</t>
  </si>
  <si>
    <t xml:space="preserve">5/7/228/07-RHN </t>
  </si>
  <si>
    <t>one lakh twenty eight thousand six hundred and thirty five rupees</t>
  </si>
  <si>
    <t>forty eight thousand seven hundred and twenty two rupees</t>
  </si>
  <si>
    <t>seven lakhs fourteen thousand four hundred and eighty three rupees</t>
  </si>
  <si>
    <t>one lakh ninty thousand three hundred and twenty five rupees</t>
  </si>
  <si>
    <t>thirty six thousand six hundred twenty six rupees and seventy paise</t>
  </si>
  <si>
    <t xml:space="preserve"> 04/06/2010</t>
  </si>
  <si>
    <t xml:space="preserve">HIV/FEL/42/2009-ECD-II </t>
  </si>
  <si>
    <t>thirty six lakhs twenty seven thousand eight hundred and eighty two rupees</t>
  </si>
  <si>
    <t>seventy six lakhs eighty three thousand two hundred and eighty rupees</t>
  </si>
  <si>
    <t>three thousand eight hundred and seventy one rupees</t>
  </si>
  <si>
    <t>ten thousand one hundred and sixty two rupees</t>
  </si>
  <si>
    <t>seven lakh ten thousand two hundred and thirty eight rupees</t>
  </si>
  <si>
    <t>one lakh sixty three thousand two hundred ninty one rupees</t>
  </si>
  <si>
    <t>twenty four lakhs seventy seven thousand three hundred and eighty eight rupees thirty eight paise</t>
  </si>
  <si>
    <t>thirty seven lakh rupees</t>
  </si>
  <si>
    <t>twenty eight thousand nine hundred and thirteen rupees</t>
  </si>
  <si>
    <t>eleven lakhs ninty seven thousand rupees</t>
  </si>
  <si>
    <t>11th Sep., 2015</t>
  </si>
  <si>
    <t xml:space="preserve">6242-P22/RGCB/PMD/DBT/SMPG/2015 </t>
  </si>
  <si>
    <t>four lakhs seventy nine thousand and six hundred rupees</t>
  </si>
  <si>
    <t>17TH Mar., 2016</t>
  </si>
  <si>
    <t>IDP/MED/02/2016</t>
  </si>
  <si>
    <t>twenty five lakhs forty eight thousand one hundred and fifity rupees</t>
  </si>
  <si>
    <t>28/12/2015</t>
  </si>
  <si>
    <t xml:space="preserve">IDP/MED/03/2014 </t>
  </si>
  <si>
    <t>eleven lakhs forty three thousand four hundred and thirty seven rupees</t>
  </si>
  <si>
    <t>12th Feb., 2016</t>
  </si>
  <si>
    <t xml:space="preserve">C-18018/12/2015-D </t>
  </si>
  <si>
    <t>eleven lakh rupees</t>
  </si>
  <si>
    <t>Dec.,2014</t>
  </si>
  <si>
    <t xml:space="preserve">DST/Disha/SoRF-PM/041/2014-15 </t>
  </si>
  <si>
    <t>30th Nov., 2015</t>
  </si>
  <si>
    <t>DST/KIRAN/SORE-PM/010/2015/01/G</t>
  </si>
  <si>
    <t>nine lakhs eighty six thousand rupees</t>
  </si>
  <si>
    <t>6242-P91/RGCB/PMD/DBT/MKLA/2015</t>
  </si>
  <si>
    <t>fify nine lakhs ninty one thousand nine hudred and eighty one rupees</t>
  </si>
  <si>
    <t>11th Aug., 2015</t>
  </si>
  <si>
    <t xml:space="preserve">LKO/Health/2015/10/352 </t>
  </si>
  <si>
    <t>one crore eighty seven lakhs sixty thousand three hundred and sixty five rupees</t>
  </si>
  <si>
    <t xml:space="preserve"> 6th April, 2015</t>
  </si>
  <si>
    <t xml:space="preserve">LKO/YN/2014/2009 </t>
  </si>
  <si>
    <t>eleven lakhs and ten thousand rupees</t>
  </si>
  <si>
    <t>30th Sep., 2014</t>
  </si>
  <si>
    <t xml:space="preserve">SR/WOS-A/LS-57/2014(G) </t>
  </si>
  <si>
    <t>nineteen lakhs ninty three thousand and six hundred rupees</t>
  </si>
  <si>
    <t>BT/PR7936/SPD/11/1437/2013</t>
  </si>
  <si>
    <t>Mar., 2015</t>
  </si>
  <si>
    <t>0037/Save the Children 2015</t>
  </si>
  <si>
    <t>fifty one lakhs ninteen thousand six hundred and sixty five rupees</t>
  </si>
  <si>
    <t>23rd Feb., 2015</t>
  </si>
  <si>
    <t xml:space="preserve">LKO/Health/2015/115 </t>
  </si>
  <si>
    <t>one lakh sixty one thousand three hundred and ten rupees</t>
  </si>
  <si>
    <t>28th May,2014</t>
  </si>
  <si>
    <t xml:space="preserve">SR/WOS-A/CS-109/2013(4) </t>
  </si>
  <si>
    <t>twelve lakh rupees</t>
  </si>
  <si>
    <t>thirty four thousand rupees</t>
  </si>
  <si>
    <t>three lakhs twenty two thousand one hundred and thirty five rupees</t>
  </si>
  <si>
    <t>eleven lakhs forty nine thousand eight hundred and seventeen rupees</t>
  </si>
  <si>
    <t>14th Jan., 2015</t>
  </si>
  <si>
    <t xml:space="preserve">LKO/YN/13.1/2015/26 </t>
  </si>
  <si>
    <t xml:space="preserve"> 20/05/14</t>
  </si>
  <si>
    <t xml:space="preserve">SR/WOS-A/LS-33/2013(G) </t>
  </si>
  <si>
    <t>four lakhs thirty one thousand two hundred and sixty seven rupees</t>
  </si>
  <si>
    <t>one lakh thirty six thousand and eight hundred rupees</t>
  </si>
  <si>
    <t>one lakh forty two thousand and four hundred rupees</t>
  </si>
  <si>
    <t>six lakhs seventy nine thousand and seventy one rupees</t>
  </si>
  <si>
    <t>four lakhs thirty fivr thousand and two hundred rupees</t>
  </si>
  <si>
    <t>thirteen lakhs ninty nine thousand rupees</t>
  </si>
  <si>
    <t>one lakh thirty three thousand four hundred and eleven rupees</t>
  </si>
  <si>
    <t>four lakh rupees</t>
  </si>
  <si>
    <t>four lakhs eighty thousand and eight hundred rupees</t>
  </si>
  <si>
    <t xml:space="preserve">1st Sept., 2010 </t>
  </si>
  <si>
    <t xml:space="preserve">F.16-1936(SC)2010(SA-III) </t>
  </si>
  <si>
    <t>four lakhs fourteen thousand and seven hundred rupees</t>
  </si>
  <si>
    <t>seventy two thousand rupees</t>
  </si>
  <si>
    <t>26th April, 2010</t>
  </si>
  <si>
    <t>09/910(005)/2011-EMR-I</t>
  </si>
  <si>
    <t>four lakhs twenty six thousand and seven hundred rupees</t>
  </si>
  <si>
    <t>two lakhs fifteen thousand three hundred and thirty three rupees</t>
  </si>
  <si>
    <t>four lakhs sixty two thousand and two hundred rupees</t>
  </si>
  <si>
    <t>six lakhs twenty thousand rupees</t>
  </si>
  <si>
    <t>27th July, 2009</t>
  </si>
  <si>
    <t xml:space="preserve">09/910(0002)/2009-EMR I </t>
  </si>
  <si>
    <t>three lakhs eighteen thousand rupees</t>
  </si>
  <si>
    <t>three lakhs eighty four thousand rupees</t>
  </si>
  <si>
    <t xml:space="preserve">CST/SERPD/D-211 </t>
  </si>
  <si>
    <t>three lakhs forty thousand rupees</t>
  </si>
  <si>
    <t xml:space="preserve">CST/SERPD/D-217 </t>
  </si>
  <si>
    <t>11th May,2015</t>
  </si>
  <si>
    <t xml:space="preserve">CST/SERPD/D-214 </t>
  </si>
  <si>
    <t>four lakhs sixteen thousand five hundred rupees</t>
  </si>
  <si>
    <t>14th May,2015</t>
  </si>
  <si>
    <t xml:space="preserve">CST/SERPD/D-292 </t>
  </si>
  <si>
    <t>three lakhs ninty thousand rupees</t>
  </si>
  <si>
    <t>14/05/15</t>
  </si>
  <si>
    <t xml:space="preserve">CST/SERPD/D-290 </t>
  </si>
  <si>
    <t>three lakhs sixty five thousand rupees</t>
  </si>
  <si>
    <t xml:space="preserve">CST/SERPD/D-303 </t>
  </si>
  <si>
    <t>three lakhs eighty nine thousand rupees</t>
  </si>
  <si>
    <t xml:space="preserve">CST/SERPD/D/293 </t>
  </si>
  <si>
    <t xml:space="preserve">CST/SERPD/D/294 </t>
  </si>
  <si>
    <t>four lakhs fourteen thousand rupees</t>
  </si>
  <si>
    <t xml:space="preserve">CST/SERPD/D/209 </t>
  </si>
  <si>
    <t xml:space="preserve">CST/SERPD/D/208 </t>
  </si>
  <si>
    <t>three lakhs sixty nine thousand rupees</t>
  </si>
  <si>
    <t xml:space="preserve">CST/SERPD/D/220 </t>
  </si>
  <si>
    <t xml:space="preserve">CST/SERPD/D-215 </t>
  </si>
  <si>
    <t xml:space="preserve"> 11/05/15</t>
  </si>
  <si>
    <t xml:space="preserve">CST/SERPD/D-212 </t>
  </si>
  <si>
    <t>three lakhs and ninty thousand rupees</t>
  </si>
  <si>
    <t xml:space="preserve">CST/SERPD/D/295 </t>
  </si>
  <si>
    <t xml:space="preserve">six lakhs thirty nine thousand four hundred and eighty four rupees </t>
  </si>
  <si>
    <t>seventeen thousand three hundred and fourty five rupees</t>
  </si>
  <si>
    <t>seventy five thousand rupees</t>
  </si>
  <si>
    <t>three lakh nine thousand nine hundred and thirty five rupees</t>
  </si>
  <si>
    <t>seventeen thousand five hundred and nine rupees</t>
  </si>
  <si>
    <t xml:space="preserve"> . 9th Oct., 2015</t>
  </si>
  <si>
    <t>501/(01)/2015/1-4340</t>
  </si>
  <si>
    <t>forty eight thousand rupees</t>
  </si>
  <si>
    <t>forty eight thousand seven hundred twenty two rupees</t>
  </si>
  <si>
    <t>sixteen thousand thousand two hundred fifty eight rupees</t>
  </si>
  <si>
    <t>15th July,2008</t>
  </si>
  <si>
    <t>3/2/2/133/2007/NCD-III</t>
  </si>
  <si>
    <t>three lakhs ninety thousand nine hundred fifty eight rupees</t>
  </si>
  <si>
    <t>four lakhs fifty five thousand nine hundred seventy eight rupees</t>
  </si>
  <si>
    <t>forteen lakhs nine thousand forty rupees</t>
  </si>
  <si>
    <t>DHR/GIA/13/2014</t>
  </si>
  <si>
    <t>one lakhs nine thousand two hundred thirteen rupees</t>
  </si>
  <si>
    <t xml:space="preserve"> 18/12/2015</t>
  </si>
  <si>
    <t xml:space="preserve">3/1/2/29/15-RBMH </t>
  </si>
  <si>
    <t>eleven lakhs forty thousand eight hundred twenty eight rupees</t>
  </si>
  <si>
    <t xml:space="preserve"> 18/03/15</t>
  </si>
  <si>
    <t xml:space="preserve">54/34/CEP/GER/2011-NCD-II </t>
  </si>
  <si>
    <t>five lakhs twenty one thousand rupees</t>
  </si>
  <si>
    <t>13/03/15</t>
  </si>
  <si>
    <t xml:space="preserve"> HRDType-V/4/2014-15 </t>
  </si>
  <si>
    <t>seven lakhs forty thousand two hundred forty seven rupees</t>
  </si>
  <si>
    <t xml:space="preserve"> 10/02/15</t>
  </si>
  <si>
    <t xml:space="preserve">BMS/Adhoc/36/2014-15 </t>
  </si>
  <si>
    <t>ten lakhs forty four thousand four hundred rupees</t>
  </si>
  <si>
    <t xml:space="preserve">BMS/adhoc/63/2014-15 </t>
  </si>
  <si>
    <t>six lakhs fifty eight thousand three hundred sixty rupees</t>
  </si>
  <si>
    <t xml:space="preserve"> 18/02/15</t>
  </si>
  <si>
    <t xml:space="preserve">BMS/Adhoc/14/2014-15 </t>
  </si>
  <si>
    <t>forty one  lakhs fifty one thousand three hundred ten rupees</t>
  </si>
  <si>
    <t xml:space="preserve">VIR/RCI/AES/1/2015/ECD-I </t>
  </si>
  <si>
    <t>thirteen lakhs ninety thousand seven hundred ninety six rupees</t>
  </si>
  <si>
    <t xml:space="preserve">NCD/adhoc/13/2014-15 </t>
  </si>
  <si>
    <t>forteen lakhs fifty two thousand five hundred six</t>
  </si>
  <si>
    <t xml:space="preserve"> 13/03/15</t>
  </si>
  <si>
    <t xml:space="preserve">RFCno.(P-9) NCD-adhoc/44/2014-15 </t>
  </si>
  <si>
    <t xml:space="preserve"> 19th Sept., 2014 </t>
  </si>
  <si>
    <t xml:space="preserve">3/2/2/248/2014/NCD-III (OPA-32705) </t>
  </si>
  <si>
    <t>four lakhs eighty seven thousand sixty nine rupees</t>
  </si>
  <si>
    <t xml:space="preserve"> 2nd September, 2014</t>
  </si>
  <si>
    <t xml:space="preserve">3/1/2(6)/CVD/2014/NCD-II </t>
  </si>
  <si>
    <t>five lakhs seventy five thousand one hundred fifty two rupees</t>
  </si>
  <si>
    <t xml:space="preserve">DHR/GIA/30/2014 </t>
  </si>
  <si>
    <t xml:space="preserve">two lakhs eleven thousand six hundred rupees </t>
  </si>
  <si>
    <t>three lakhs twenty four thousand eight hundred</t>
  </si>
  <si>
    <t>22nd April, 2017</t>
  </si>
  <si>
    <t xml:space="preserve">3/1/2/46/2014-15(Nut.) </t>
  </si>
  <si>
    <t>four lakhs eighteen thousand one hundred eighty rupees</t>
  </si>
  <si>
    <t>4th Sept., 2014</t>
  </si>
  <si>
    <t xml:space="preserve">DHR/GIA/18/2014 </t>
  </si>
  <si>
    <t>four lakhs fifteen thousand eight hundred rupees</t>
  </si>
  <si>
    <t xml:space="preserve">four lakhs eighty five one hundred thirty six rupees </t>
  </si>
  <si>
    <t>25th April, 2014</t>
  </si>
  <si>
    <t xml:space="preserve">45/14/2011-imm/BMS </t>
  </si>
  <si>
    <t>four lakhs sixty five thousand three hundred ninety four rupees</t>
  </si>
  <si>
    <t>four lakhs fifty three thousand two hundred thirty eight rupees</t>
  </si>
  <si>
    <t>four lakhs fifty six thousand one hundred three rupees</t>
  </si>
  <si>
    <t>ninety two thousand fifty one rupees</t>
  </si>
  <si>
    <t>four lakhs forty four thousand four hundred ninety rupees</t>
  </si>
  <si>
    <t>21st July, 2011</t>
  </si>
  <si>
    <t xml:space="preserve">45/6/2013-BIO/BMS </t>
  </si>
  <si>
    <t>three lakhs eighty six thousand seven hundred twenty rupees</t>
  </si>
  <si>
    <t>four lakhs forty five thousand one hundred six rupees</t>
  </si>
  <si>
    <t>twenty four thousand rupees</t>
  </si>
  <si>
    <t>two lakhs eighty three thousand six hundred rupees</t>
  </si>
  <si>
    <t>four lakhs fifteen thousand two hundred twenty six rupees</t>
  </si>
  <si>
    <t>thirty lakhs thirty one thousand eight hundred sixty rupees</t>
  </si>
  <si>
    <t>twenty one ninety seven thousand three hundred thirty one rupees</t>
  </si>
  <si>
    <t>eleven lakhs fifty thousand rupees</t>
  </si>
  <si>
    <t>five lakhs twenty two thousand six hundred ninety four rupees</t>
  </si>
  <si>
    <t xml:space="preserve"> 25/02/15</t>
  </si>
  <si>
    <t xml:space="preserve">VIR/8/2013-ECD-I </t>
  </si>
  <si>
    <t>nine lakhs ninety six thousand two hundred fifteen rupees</t>
  </si>
  <si>
    <t>four lakhs twenty three thousand two hundred rupees</t>
  </si>
  <si>
    <t>eight lakhs twenty four thousand seven hundred twenty rupees</t>
  </si>
  <si>
    <t xml:space="preserve">four lakhs eighteen thousand eight hundred twenty five rupees </t>
  </si>
  <si>
    <t>one lakhs fifty seven thousand five hundred rupees</t>
  </si>
  <si>
    <t>three lakhs seventy eight thousand one hundred ninety nine rupees</t>
  </si>
  <si>
    <t>four lakhs ninety seven thousand nine hundred ninety nine rupees</t>
  </si>
  <si>
    <t>two lakhs eleven thousand six hundred rupees</t>
  </si>
  <si>
    <t>six lakhs six thousand three hundred forty seven rupees</t>
  </si>
  <si>
    <t>sixty eight thousand seven hundred twelve rupees</t>
  </si>
  <si>
    <t>seven lakhs fifty seven thousand four hundred eighteen rupees</t>
  </si>
  <si>
    <t>sixteen lakhs eighty nine thousand twenty seven rupees</t>
  </si>
  <si>
    <t>four lakhs one thousand one hundred fifteen rupees</t>
  </si>
  <si>
    <t>seven lakhs ninety one thousand nine hundred thirty three rupees</t>
  </si>
  <si>
    <t>three lakhs eighty seven thousand nine hundred thirty three rupees</t>
  </si>
  <si>
    <t>four lakhs seventeen thousand two hundred rupees</t>
  </si>
  <si>
    <t>four lakhs forty six thousand four hundred sixty rupees</t>
  </si>
  <si>
    <t>eleven lakhs ninety one thousand six hundred eighty seven rupees</t>
  </si>
  <si>
    <t>three lakhs nine thousand seven hundred twenty rupees</t>
  </si>
  <si>
    <t>one lakhs ninety eight thousand six hundred sixty five rupees</t>
  </si>
  <si>
    <t>three lakhs eighty two thousand two hundred forty</t>
  </si>
  <si>
    <t>two lakhs eighty six thousand nine hundred two rupees</t>
  </si>
  <si>
    <t>three lakhs forty four thousand four hundred and forty six rupees</t>
  </si>
  <si>
    <t>thirty five thousand nine hundred and twenty two rupees</t>
  </si>
  <si>
    <t>eleven lakhs ninty nine thousand three hundred and sixty rupees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</si>
</sst>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3" x14ac:knownFonts="1">
    <font>
      <sz val="11"/>
      <color theme="1"/>
      <name val="Calibri"/>
      <family val="2"/>
      <scheme val="minor"/>
    </font>
    <font>
      <b/>
      <sz val="12"/>
      <color theme="1"/>
      <name val="Calibri"/>
      <family val="2"/>
      <scheme val="minor"/>
    </font>
    <font>
      <sz val="11"/>
      <color theme="1"/>
      <name val="Calibri"/>
      <family val="2"/>
      <scheme val="minor"/>
    </font>
    <font>
      <sz val="10"/>
      <name val="Arial"/>
      <family val="2"/>
    </font>
    <font>
      <sz val="11"/>
      <color rgb="FFFF0000"/>
      <name val="Calibri"/>
      <family val="2"/>
      <scheme val="minor"/>
    </font>
    <font>
      <sz val="11"/>
      <name val="Times New Roman"/>
      <family val="1"/>
    </font>
    <font>
      <sz val="11"/>
      <color theme="1"/>
      <name val="Times New Roman"/>
      <family val="1"/>
    </font>
    <font>
      <b/>
      <sz val="11"/>
      <color theme="1"/>
      <name val="Calibri"/>
      <scheme val="minor"/>
    </font>
    <font>
      <sz val="12"/>
      <color theme="0"/>
      <name val="Calibri"/>
      <family val="2"/>
      <scheme val="minor"/>
    </font>
    <font>
      <b/>
      <sz val="10"/>
      <name val="Arial"/>
      <family val="2"/>
    </font>
    <font>
      <sz val="12"/>
      <name val="Times New Roman"/>
      <family val="1"/>
    </font>
    <font>
      <b/>
      <sz val="12"/>
      <name val="Times New Roman"/>
      <family val="1"/>
    </font>
    <font>
      <i/>
      <sz val="10"/>
      <name val="Arial"/>
      <family val="2"/>
    </font>
    <font>
      <sz val="9"/>
      <color theme="1"/>
      <name val="Calibri"/>
      <family val="2"/>
      <scheme val="minor"/>
    </font>
    <font>
      <sz val="11"/>
      <name val="Calibri"/>
      <family val="2"/>
      <scheme val="minor"/>
    </font>
    <font>
      <sz val="10"/>
      <color theme="1"/>
      <name val="Calibri"/>
      <family val="2"/>
      <scheme val="minor"/>
    </font>
    <font>
      <sz val="10"/>
      <color theme="1"/>
      <name val="Times New Roman"/>
      <family val="1"/>
    </font>
    <font>
      <sz val="10"/>
      <name val="Times New Roman"/>
      <family val="1"/>
    </font>
    <font>
      <u/>
      <sz val="11"/>
      <color theme="10"/>
      <name val="Calibri"/>
      <family val="2"/>
      <scheme val="minor"/>
    </font>
    <font>
      <u/>
      <sz val="11"/>
      <color theme="11"/>
      <name val="Calibri"/>
      <family val="2"/>
      <scheme val="minor"/>
    </font>
    <font>
      <sz val="10"/>
      <name val="Book Antiqua"/>
      <family val="1"/>
    </font>
    <font>
      <sz val="9"/>
      <name val="Book Antiqua"/>
      <family val="1"/>
    </font>
    <font>
      <sz val="10"/>
      <color theme="1"/>
      <name val="Book Antiqua"/>
      <family val="1"/>
    </font>
    <font>
      <sz val="10"/>
      <color indexed="8"/>
      <name val="Book Antiqua"/>
      <family val="1"/>
    </font>
    <font>
      <sz val="9"/>
      <color theme="1"/>
      <name val="Book Antiqua"/>
      <family val="1"/>
    </font>
    <font>
      <sz val="8"/>
      <name val="Book Antiqua"/>
      <family val="1"/>
    </font>
    <font>
      <vertAlign val="superscript"/>
      <sz val="9"/>
      <name val="Book Antiqua"/>
      <family val="1"/>
    </font>
    <font>
      <vertAlign val="superscript"/>
      <sz val="11"/>
      <color theme="1"/>
      <name val="Calibri"/>
      <family val="2"/>
      <scheme val="minor"/>
    </font>
    <font>
      <sz val="11"/>
      <name val="Book Antiqua"/>
      <family val="1"/>
    </font>
    <font>
      <vertAlign val="superscript"/>
      <sz val="11"/>
      <color theme="1"/>
      <name val="Times New Roman"/>
      <family val="1"/>
    </font>
    <font>
      <b/>
      <sz val="10"/>
      <color theme="1"/>
      <name val="Book Antiqua"/>
      <family val="1"/>
    </font>
    <font>
      <sz val="8"/>
      <color indexed="8"/>
      <name val="Book Antiqua"/>
      <family val="1"/>
    </font>
    <font>
      <sz val="9"/>
      <color indexed="8"/>
      <name val="Book Antiqua"/>
      <family val="1"/>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43" fontId="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27">
    <xf numFmtId="0" fontId="0" fillId="0" borderId="0" xfId="0"/>
    <xf numFmtId="0" fontId="0" fillId="0" borderId="0" xfId="0"/>
    <xf numFmtId="0" fontId="1" fillId="0" borderId="1" xfId="0" applyFont="1" applyBorder="1"/>
    <xf numFmtId="0" fontId="0" fillId="0" borderId="0" xfId="0"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0" fillId="0" borderId="1" xfId="0" applyFill="1" applyBorder="1" applyAlignment="1">
      <alignment horizontal="center" vertical="center"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xf>
    <xf numFmtId="0" fontId="6" fillId="0" borderId="1" xfId="0" applyFont="1" applyFill="1" applyBorder="1" applyAlignment="1">
      <alignment horizontal="left" wrapText="1"/>
    </xf>
    <xf numFmtId="0" fontId="5" fillId="0" borderId="1" xfId="0" applyFont="1" applyFill="1" applyBorder="1" applyAlignment="1">
      <alignment horizontal="left"/>
    </xf>
    <xf numFmtId="43" fontId="6" fillId="0" borderId="1" xfId="1" applyFont="1"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horizontal="left" wrapText="1"/>
    </xf>
    <xf numFmtId="0" fontId="3" fillId="0" borderId="1" xfId="0" quotePrefix="1" applyFont="1" applyFill="1" applyBorder="1" applyAlignment="1">
      <alignment horizontal="left" wrapText="1"/>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wrapText="1"/>
    </xf>
    <xf numFmtId="0" fontId="0" fillId="0" borderId="1" xfId="0" applyFill="1" applyBorder="1" applyAlignment="1">
      <alignment horizontal="left"/>
    </xf>
    <xf numFmtId="0" fontId="0" fillId="0" borderId="1" xfId="0" applyFill="1" applyBorder="1" applyAlignment="1">
      <alignment horizontal="left" wrapText="1"/>
    </xf>
    <xf numFmtId="0" fontId="3" fillId="0" borderId="1" xfId="0" applyFont="1" applyFill="1" applyBorder="1" applyAlignment="1">
      <alignment horizontal="left" vertical="top" wrapText="1"/>
    </xf>
    <xf numFmtId="43" fontId="0" fillId="0" borderId="1" xfId="1" applyNumberFormat="1" applyFont="1" applyFill="1" applyBorder="1"/>
    <xf numFmtId="43" fontId="7" fillId="0" borderId="1" xfId="1" applyNumberFormat="1" applyFont="1" applyFill="1" applyBorder="1" applyAlignment="1">
      <alignment horizontal="center"/>
    </xf>
    <xf numFmtId="43" fontId="2" fillId="0" borderId="1" xfId="1" applyNumberFormat="1" applyFont="1" applyFill="1" applyBorder="1" applyAlignment="1">
      <alignment horizontal="center"/>
    </xf>
    <xf numFmtId="43" fontId="0" fillId="0" borderId="1" xfId="1" applyNumberFormat="1" applyFont="1" applyFill="1" applyBorder="1" applyAlignment="1">
      <alignment horizontal="center"/>
    </xf>
    <xf numFmtId="43" fontId="14" fillId="0" borderId="1" xfId="1" applyNumberFormat="1" applyFont="1" applyFill="1" applyBorder="1" applyAlignment="1">
      <alignment horizontal="center"/>
    </xf>
    <xf numFmtId="43" fontId="0" fillId="0" borderId="1" xfId="1" applyFont="1" applyBorder="1" applyAlignment="1">
      <alignment wrapText="1"/>
    </xf>
    <xf numFmtId="43" fontId="0" fillId="0" borderId="1" xfId="1" applyFont="1" applyFill="1" applyBorder="1" applyAlignment="1">
      <alignment wrapText="1"/>
    </xf>
    <xf numFmtId="43" fontId="0" fillId="0" borderId="1" xfId="1" applyNumberFormat="1" applyFont="1" applyFill="1" applyBorder="1" applyAlignment="1">
      <alignment horizontal="center" wrapText="1"/>
    </xf>
    <xf numFmtId="43" fontId="2" fillId="0" borderId="1" xfId="1" applyNumberFormat="1" applyFont="1" applyBorder="1" applyAlignment="1">
      <alignment horizontal="center" wrapText="1"/>
    </xf>
    <xf numFmtId="43" fontId="2" fillId="0" borderId="1" xfId="1" applyNumberFormat="1" applyFont="1" applyFill="1" applyBorder="1" applyAlignment="1">
      <alignment horizontal="center" wrapText="1"/>
    </xf>
    <xf numFmtId="43" fontId="0" fillId="0" borderId="1" xfId="1" applyNumberFormat="1" applyFont="1" applyBorder="1" applyAlignment="1">
      <alignment horizont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wrapText="1"/>
    </xf>
    <xf numFmtId="0" fontId="16" fillId="0" borderId="1" xfId="0" applyFont="1" applyFill="1" applyBorder="1" applyAlignment="1">
      <alignment horizont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wrapText="1"/>
    </xf>
    <xf numFmtId="43" fontId="16" fillId="0" borderId="1" xfId="1" applyFont="1" applyFill="1" applyBorder="1"/>
    <xf numFmtId="0" fontId="17" fillId="0" borderId="1" xfId="0" applyFont="1" applyFill="1" applyBorder="1" applyAlignment="1">
      <alignment horizontal="left"/>
    </xf>
    <xf numFmtId="43" fontId="6" fillId="0" borderId="1" xfId="1" applyFont="1" applyBorder="1"/>
    <xf numFmtId="0" fontId="1" fillId="0" borderId="1" xfId="0" applyFont="1" applyBorder="1" applyAlignment="1">
      <alignment horizontal="center" vertical="center"/>
    </xf>
    <xf numFmtId="0" fontId="0" fillId="0" borderId="0" xfId="0" applyAlignment="1">
      <alignment horizontal="left" wrapText="1"/>
    </xf>
    <xf numFmtId="0" fontId="0" fillId="0" borderId="1" xfId="0" applyFont="1" applyBorder="1" applyAlignment="1"/>
    <xf numFmtId="0" fontId="0" fillId="0" borderId="1" xfId="0" applyFont="1" applyBorder="1" applyAlignment="1">
      <alignment wrapText="1"/>
    </xf>
    <xf numFmtId="0" fontId="0" fillId="0" borderId="0" xfId="0" applyAlignment="1">
      <alignment horizontal="left"/>
    </xf>
    <xf numFmtId="0" fontId="0" fillId="0" borderId="3" xfId="0" applyFont="1" applyBorder="1" applyAlignment="1"/>
    <xf numFmtId="0" fontId="0" fillId="0" borderId="3" xfId="0" applyFont="1" applyBorder="1" applyAlignment="1">
      <alignment wrapText="1"/>
    </xf>
    <xf numFmtId="0" fontId="0" fillId="0" borderId="1" xfId="0" applyBorder="1" applyAlignment="1">
      <alignment horizontal="left" wrapText="1"/>
    </xf>
    <xf numFmtId="0" fontId="0" fillId="0" borderId="1" xfId="0" applyBorder="1" applyAlignment="1">
      <alignment horizontal="center"/>
    </xf>
    <xf numFmtId="0" fontId="0" fillId="3" borderId="1" xfId="0" applyFill="1" applyBorder="1" applyAlignment="1">
      <alignment horizont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20" fillId="0" borderId="1" xfId="0" applyNumberFormat="1" applyFont="1" applyFill="1" applyBorder="1" applyAlignment="1">
      <alignment horizontal="left" vertical="center"/>
    </xf>
    <xf numFmtId="0" fontId="20" fillId="0" borderId="1" xfId="0" applyNumberFormat="1" applyFont="1" applyFill="1" applyBorder="1" applyAlignment="1">
      <alignment horizontal="left" vertical="center" wrapText="1"/>
    </xf>
    <xf numFmtId="0" fontId="21" fillId="0" borderId="1" xfId="0" applyNumberFormat="1" applyFont="1" applyFill="1" applyBorder="1" applyAlignment="1">
      <alignment vertical="center" wrapText="1"/>
    </xf>
    <xf numFmtId="0" fontId="22"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Font="1" applyFill="1" applyBorder="1" applyAlignment="1">
      <alignment vertical="center" wrapText="1"/>
    </xf>
    <xf numFmtId="14" fontId="15" fillId="0" borderId="1" xfId="0" applyNumberFormat="1" applyFont="1" applyBorder="1" applyAlignment="1">
      <alignment horizontal="left" vertical="center"/>
    </xf>
    <xf numFmtId="0" fontId="24" fillId="0" borderId="1" xfId="0" applyNumberFormat="1" applyFont="1" applyFill="1" applyBorder="1" applyAlignment="1" applyProtection="1">
      <alignment horizontal="left" vertical="center"/>
      <protection locked="0"/>
    </xf>
    <xf numFmtId="0" fontId="21" fillId="0" borderId="1" xfId="0" applyNumberFormat="1" applyFont="1" applyFill="1" applyBorder="1" applyAlignment="1" applyProtection="1">
      <alignment horizontal="left" vertical="center" wrapText="1"/>
      <protection locked="0"/>
    </xf>
    <xf numFmtId="0" fontId="24" fillId="0" borderId="1" xfId="0" applyFont="1" applyBorder="1" applyAlignment="1">
      <alignment horizontal="left" vertical="center" wrapText="1"/>
    </xf>
    <xf numFmtId="0" fontId="21" fillId="0" borderId="1" xfId="0" applyNumberFormat="1" applyFont="1" applyFill="1" applyBorder="1" applyAlignment="1" applyProtection="1">
      <alignment horizontal="left" vertical="center"/>
      <protection locked="0"/>
    </xf>
    <xf numFmtId="0" fontId="23" fillId="0" borderId="1" xfId="0" applyFont="1" applyFill="1" applyBorder="1" applyAlignment="1">
      <alignment wrapText="1"/>
    </xf>
    <xf numFmtId="0" fontId="21" fillId="0" borderId="1" xfId="0" applyNumberFormat="1" applyFont="1" applyFill="1" applyBorder="1" applyAlignment="1">
      <alignment horizontal="left" vertical="center"/>
    </xf>
    <xf numFmtId="0" fontId="25"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0" applyFont="1" applyBorder="1" applyAlignment="1">
      <alignment horizontal="left" vertical="center" wrapText="1"/>
    </xf>
    <xf numFmtId="14" fontId="25" fillId="0" borderId="1" xfId="0" applyNumberFormat="1" applyFont="1" applyFill="1" applyBorder="1" applyAlignment="1">
      <alignment vertical="center"/>
    </xf>
    <xf numFmtId="0" fontId="25" fillId="0" borderId="1" xfId="0" applyNumberFormat="1" applyFont="1" applyFill="1" applyBorder="1" applyAlignment="1">
      <alignment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1" fillId="0" borderId="1" xfId="0" applyFont="1" applyFill="1" applyBorder="1" applyAlignment="1">
      <alignment vertical="center"/>
    </xf>
    <xf numFmtId="0" fontId="21" fillId="0" borderId="1" xfId="0" applyFont="1" applyFill="1" applyBorder="1" applyAlignment="1">
      <alignment vertical="center" wrapText="1"/>
    </xf>
    <xf numFmtId="0" fontId="22" fillId="0" borderId="1" xfId="0" applyFont="1" applyFill="1" applyBorder="1" applyAlignment="1"/>
    <xf numFmtId="0" fontId="22" fillId="0" borderId="1" xfId="0" applyFont="1" applyFill="1" applyBorder="1" applyAlignment="1">
      <alignment wrapText="1"/>
    </xf>
    <xf numFmtId="0" fontId="21" fillId="0" borderId="1" xfId="0" applyFont="1" applyBorder="1" applyAlignment="1">
      <alignment vertical="center"/>
    </xf>
    <xf numFmtId="0" fontId="21" fillId="0" borderId="1" xfId="0" applyFont="1" applyBorder="1" applyAlignment="1">
      <alignment vertical="center" wrapText="1"/>
    </xf>
    <xf numFmtId="0" fontId="15" fillId="0" borderId="1" xfId="0" applyFont="1" applyBorder="1" applyAlignment="1">
      <alignment vertical="center" wrapText="1"/>
    </xf>
    <xf numFmtId="0" fontId="0" fillId="0" borderId="1" xfId="0" applyBorder="1" applyAlignment="1"/>
    <xf numFmtId="0" fontId="24" fillId="0" borderId="1" xfId="0" applyFont="1" applyBorder="1" applyAlignment="1">
      <alignment wrapText="1"/>
    </xf>
    <xf numFmtId="0" fontId="28" fillId="0" borderId="1" xfId="0" applyFont="1" applyBorder="1" applyAlignment="1"/>
    <xf numFmtId="0" fontId="28" fillId="0" borderId="1" xfId="0" applyFont="1" applyBorder="1" applyAlignment="1">
      <alignment wrapText="1"/>
    </xf>
    <xf numFmtId="0" fontId="6" fillId="0" borderId="1" xfId="0" applyFont="1" applyBorder="1" applyAlignment="1"/>
    <xf numFmtId="0" fontId="15" fillId="0" borderId="1" xfId="0" applyFont="1" applyBorder="1" applyAlignment="1">
      <alignment wrapText="1"/>
    </xf>
    <xf numFmtId="0" fontId="16" fillId="0" borderId="1" xfId="0" applyFont="1" applyFill="1" applyBorder="1" applyAlignment="1">
      <alignment horizontal="left"/>
    </xf>
    <xf numFmtId="0" fontId="25" fillId="0" borderId="1" xfId="0" applyNumberFormat="1" applyFont="1" applyFill="1" applyBorder="1" applyAlignment="1">
      <alignment vertical="center"/>
    </xf>
    <xf numFmtId="0" fontId="0" fillId="0" borderId="1" xfId="0" applyFont="1" applyFill="1" applyBorder="1" applyAlignment="1">
      <alignment horizontal="left" wrapText="1"/>
    </xf>
    <xf numFmtId="0" fontId="23" fillId="0" borderId="1" xfId="0" applyFont="1" applyFill="1" applyBorder="1" applyAlignment="1">
      <alignment horizontal="left" vertical="center"/>
    </xf>
    <xf numFmtId="0" fontId="0" fillId="2" borderId="1" xfId="0" applyFill="1" applyBorder="1" applyAlignment="1">
      <alignment horizontal="center"/>
    </xf>
    <xf numFmtId="0" fontId="24"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0" fillId="0" borderId="1" xfId="0" applyNumberFormat="1" applyFont="1" applyFill="1" applyBorder="1" applyAlignment="1" applyProtection="1">
      <alignment horizontal="left" vertical="center"/>
      <protection locked="0"/>
    </xf>
    <xf numFmtId="0" fontId="20"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10" fillId="0" borderId="1" xfId="0" applyFont="1" applyFill="1" applyBorder="1" applyAlignment="1">
      <alignment horizontal="left" vertical="center" wrapText="1"/>
    </xf>
    <xf numFmtId="14"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left" vertical="center" wrapText="1"/>
    </xf>
    <xf numFmtId="14" fontId="25" fillId="0" borderId="1"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2" fillId="0" borderId="1" xfId="0" applyNumberFormat="1" applyFont="1" applyFill="1" applyBorder="1" applyAlignment="1">
      <alignment horizontal="left" vertical="center"/>
    </xf>
    <xf numFmtId="0" fontId="32" fillId="0" borderId="1" xfId="0" applyNumberFormat="1" applyFont="1" applyFill="1" applyBorder="1" applyAlignment="1">
      <alignment horizontal="left" vertical="center" wrapText="1"/>
    </xf>
    <xf numFmtId="0" fontId="13" fillId="0" borderId="1" xfId="0" applyFont="1" applyBorder="1" applyAlignment="1">
      <alignment horizontal="left" vertical="center"/>
    </xf>
    <xf numFmtId="0" fontId="23"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3"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cellXfs>
  <cellStyles count="4">
    <cellStyle name="Comma" xfId="1" builtinId="3"/>
    <cellStyle name="Followed Hyperlink" xfId="3" builtinId="9" hidden="1"/>
    <cellStyle name="Hyperlink" xfId="2" builtinId="8" hidden="1"/>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3"/>
  <sheetViews>
    <sheetView tabSelected="1" topLeftCell="A329" zoomScale="68" zoomScaleNormal="153" zoomScalePageLayoutView="153" workbookViewId="0">
      <selection activeCell="I8" sqref="I1:I1048576"/>
    </sheetView>
  </sheetViews>
  <sheetFormatPr baseColWidth="10" defaultColWidth="8.83203125" defaultRowHeight="15" x14ac:dyDescent="0.2"/>
  <cols>
    <col min="1" max="2" width="8.83203125" style="1"/>
    <col min="3" max="3" width="14.33203125" style="1" customWidth="1"/>
    <col min="4" max="4" width="21" style="53" customWidth="1"/>
    <col min="5" max="5" width="15.33203125" style="1" customWidth="1"/>
    <col min="6" max="6" width="57.6640625" style="53" customWidth="1"/>
    <col min="7" max="7" width="23" style="52" customWidth="1"/>
    <col min="8" max="8" width="17.1640625" style="51" customWidth="1"/>
    <col min="9" max="9" width="14.83203125" style="1" customWidth="1"/>
    <col min="10" max="10" width="24" style="50" customWidth="1"/>
    <col min="11" max="16384" width="8.83203125" style="1"/>
  </cols>
  <sheetData>
    <row r="1" spans="1:11" ht="16" x14ac:dyDescent="0.2">
      <c r="A1" s="2" t="s">
        <v>0</v>
      </c>
      <c r="B1" s="49" t="s">
        <v>1</v>
      </c>
      <c r="C1" s="49"/>
      <c r="D1" s="49"/>
      <c r="E1" s="49"/>
      <c r="F1" s="49"/>
      <c r="G1" s="49"/>
      <c r="H1" s="49"/>
      <c r="I1" s="49"/>
    </row>
    <row r="2" spans="1:11" ht="48" x14ac:dyDescent="0.2">
      <c r="A2" s="2" t="s">
        <v>2</v>
      </c>
      <c r="B2" s="126" t="s">
        <v>3</v>
      </c>
      <c r="C2" s="126" t="s">
        <v>4</v>
      </c>
      <c r="D2" s="122" t="s">
        <v>5</v>
      </c>
      <c r="E2" s="125" t="s">
        <v>6</v>
      </c>
      <c r="F2" s="122" t="s">
        <v>7</v>
      </c>
      <c r="G2" s="123" t="s">
        <v>8</v>
      </c>
      <c r="H2" s="124" t="s">
        <v>9</v>
      </c>
      <c r="I2" s="123" t="s">
        <v>10</v>
      </c>
      <c r="J2" s="122" t="s">
        <v>11</v>
      </c>
      <c r="K2" s="3"/>
    </row>
    <row r="3" spans="1:11" ht="34" customHeight="1" x14ac:dyDescent="0.2">
      <c r="B3" s="57">
        <v>1</v>
      </c>
      <c r="C3" s="99" t="s">
        <v>12</v>
      </c>
      <c r="D3" s="59" t="s">
        <v>216</v>
      </c>
      <c r="E3" s="19" t="s">
        <v>197</v>
      </c>
      <c r="F3" s="121" t="s">
        <v>39</v>
      </c>
      <c r="G3" s="79" t="s">
        <v>751</v>
      </c>
      <c r="I3" s="27">
        <v>1199360</v>
      </c>
      <c r="J3" s="56" t="s">
        <v>1136</v>
      </c>
    </row>
    <row r="4" spans="1:11" ht="45" x14ac:dyDescent="0.2">
      <c r="B4" s="57"/>
      <c r="C4" s="99"/>
      <c r="D4" s="102" t="s">
        <v>217</v>
      </c>
      <c r="E4" s="8" t="s">
        <v>197</v>
      </c>
      <c r="F4" s="101" t="s">
        <v>40</v>
      </c>
      <c r="G4" s="87" t="s">
        <v>745</v>
      </c>
      <c r="H4" s="51" t="s">
        <v>744</v>
      </c>
      <c r="I4" s="28">
        <v>35922</v>
      </c>
      <c r="J4" s="56" t="s">
        <v>1135</v>
      </c>
    </row>
    <row r="5" spans="1:11" ht="39" x14ac:dyDescent="0.2">
      <c r="B5" s="57"/>
      <c r="C5" s="99"/>
      <c r="D5" s="102" t="s">
        <v>218</v>
      </c>
      <c r="E5" s="8" t="s">
        <v>197</v>
      </c>
      <c r="F5" s="101" t="s">
        <v>41</v>
      </c>
      <c r="G5" s="90" t="s">
        <v>742</v>
      </c>
      <c r="H5" s="89" t="s">
        <v>741</v>
      </c>
      <c r="I5" s="28">
        <v>0</v>
      </c>
      <c r="J5" s="56"/>
    </row>
    <row r="6" spans="1:11" ht="39" x14ac:dyDescent="0.2">
      <c r="B6" s="57"/>
      <c r="C6" s="99"/>
      <c r="D6" s="102" t="s">
        <v>18</v>
      </c>
      <c r="E6" s="8" t="s">
        <v>197</v>
      </c>
      <c r="F6" s="101" t="s">
        <v>42</v>
      </c>
      <c r="G6" s="88" t="s">
        <v>740</v>
      </c>
      <c r="H6" s="51" t="s">
        <v>739</v>
      </c>
      <c r="I6" s="28">
        <v>0</v>
      </c>
      <c r="J6" s="56"/>
    </row>
    <row r="7" spans="1:11" ht="43" x14ac:dyDescent="0.2">
      <c r="B7" s="57"/>
      <c r="C7" s="99"/>
      <c r="D7" s="59" t="s">
        <v>21</v>
      </c>
      <c r="E7" s="19" t="s">
        <v>197</v>
      </c>
      <c r="F7" s="117" t="s">
        <v>43</v>
      </c>
      <c r="G7" s="87" t="s">
        <v>733</v>
      </c>
      <c r="H7" s="86" t="s">
        <v>732</v>
      </c>
      <c r="I7" s="27">
        <v>0</v>
      </c>
      <c r="J7" s="56"/>
    </row>
    <row r="8" spans="1:11" ht="28" x14ac:dyDescent="0.2">
      <c r="B8" s="57"/>
      <c r="C8" s="99"/>
      <c r="D8" s="59" t="s">
        <v>24</v>
      </c>
      <c r="E8" s="19" t="s">
        <v>197</v>
      </c>
      <c r="F8" s="117" t="s">
        <v>44</v>
      </c>
      <c r="G8" s="67" t="s">
        <v>731</v>
      </c>
      <c r="H8" s="66" t="s">
        <v>730</v>
      </c>
      <c r="I8" s="27">
        <v>0</v>
      </c>
      <c r="J8" s="56"/>
    </row>
    <row r="9" spans="1:11" ht="45" x14ac:dyDescent="0.2">
      <c r="B9" s="57"/>
      <c r="C9" s="99"/>
      <c r="D9" s="102" t="s">
        <v>216</v>
      </c>
      <c r="E9" s="8" t="s">
        <v>197</v>
      </c>
      <c r="F9" s="101" t="s">
        <v>45</v>
      </c>
      <c r="G9" s="87" t="s">
        <v>728</v>
      </c>
      <c r="H9" s="86" t="s">
        <v>727</v>
      </c>
      <c r="I9" s="29">
        <f>269200+75246</f>
        <v>344446</v>
      </c>
      <c r="J9" s="56" t="s">
        <v>1134</v>
      </c>
    </row>
    <row r="10" spans="1:11" ht="30" x14ac:dyDescent="0.2">
      <c r="B10" s="57"/>
      <c r="C10" s="99"/>
      <c r="D10" s="102" t="s">
        <v>219</v>
      </c>
      <c r="E10" s="8" t="s">
        <v>197</v>
      </c>
      <c r="F10" s="101" t="s">
        <v>46</v>
      </c>
      <c r="G10" s="87" t="s">
        <v>726</v>
      </c>
      <c r="H10" s="86" t="s">
        <v>725</v>
      </c>
      <c r="I10" s="29">
        <v>77000</v>
      </c>
      <c r="J10" s="56" t="s">
        <v>736</v>
      </c>
    </row>
    <row r="11" spans="1:11" ht="39" x14ac:dyDescent="0.2">
      <c r="B11" s="57"/>
      <c r="C11" s="99"/>
      <c r="D11" s="102" t="s">
        <v>220</v>
      </c>
      <c r="E11" s="8" t="s">
        <v>197</v>
      </c>
      <c r="F11" s="101" t="s">
        <v>47</v>
      </c>
      <c r="G11" s="87" t="s">
        <v>721</v>
      </c>
      <c r="H11" s="86" t="s">
        <v>720</v>
      </c>
      <c r="I11" s="30">
        <v>286902</v>
      </c>
      <c r="J11" s="56" t="s">
        <v>1133</v>
      </c>
    </row>
    <row r="12" spans="1:11" ht="30" x14ac:dyDescent="0.2">
      <c r="B12" s="57"/>
      <c r="C12" s="99"/>
      <c r="D12" s="102" t="s">
        <v>21</v>
      </c>
      <c r="E12" s="8" t="s">
        <v>197</v>
      </c>
      <c r="F12" s="105" t="s">
        <v>48</v>
      </c>
      <c r="G12" s="67" t="s">
        <v>719</v>
      </c>
      <c r="H12" s="66" t="s">
        <v>718</v>
      </c>
      <c r="I12" s="29">
        <f>176330+205910</f>
        <v>382240</v>
      </c>
      <c r="J12" s="56" t="s">
        <v>1132</v>
      </c>
    </row>
    <row r="13" spans="1:11" ht="45" x14ac:dyDescent="0.2">
      <c r="B13" s="57"/>
      <c r="C13" s="99"/>
      <c r="D13" s="106" t="s">
        <v>22</v>
      </c>
      <c r="E13" s="8" t="s">
        <v>197</v>
      </c>
      <c r="F13" s="101" t="s">
        <v>49</v>
      </c>
      <c r="G13" s="85" t="s">
        <v>715</v>
      </c>
      <c r="H13" s="84" t="s">
        <v>714</v>
      </c>
      <c r="I13" s="30">
        <v>198665</v>
      </c>
      <c r="J13" s="56" t="s">
        <v>1131</v>
      </c>
    </row>
    <row r="14" spans="1:11" ht="30" x14ac:dyDescent="0.2">
      <c r="B14" s="57"/>
      <c r="C14" s="99"/>
      <c r="D14" s="102" t="s">
        <v>33</v>
      </c>
      <c r="E14" s="8" t="s">
        <v>197</v>
      </c>
      <c r="F14" s="101" t="s">
        <v>50</v>
      </c>
      <c r="G14" s="67" t="s">
        <v>712</v>
      </c>
      <c r="H14" s="66" t="s">
        <v>711</v>
      </c>
      <c r="I14" s="30">
        <v>309720</v>
      </c>
      <c r="J14" s="56" t="s">
        <v>1130</v>
      </c>
    </row>
    <row r="15" spans="1:11" ht="52" x14ac:dyDescent="0.2">
      <c r="B15" s="57"/>
      <c r="C15" s="99"/>
      <c r="D15" s="106" t="s">
        <v>221</v>
      </c>
      <c r="E15" s="8" t="s">
        <v>197</v>
      </c>
      <c r="F15" s="101" t="s">
        <v>51</v>
      </c>
      <c r="G15" s="83" t="s">
        <v>710</v>
      </c>
      <c r="H15" s="82" t="s">
        <v>709</v>
      </c>
      <c r="I15" s="30">
        <f>993072+198615</f>
        <v>1191687</v>
      </c>
      <c r="J15" s="56" t="s">
        <v>1129</v>
      </c>
    </row>
    <row r="16" spans="1:11" ht="30" x14ac:dyDescent="0.2">
      <c r="B16" s="57"/>
      <c r="C16" s="99"/>
      <c r="D16" s="102" t="s">
        <v>222</v>
      </c>
      <c r="E16" s="8" t="s">
        <v>197</v>
      </c>
      <c r="F16" s="101" t="s">
        <v>52</v>
      </c>
      <c r="G16" s="81" t="s">
        <v>707</v>
      </c>
      <c r="H16" s="80" t="s">
        <v>706</v>
      </c>
      <c r="I16" s="29">
        <f>340660+105800</f>
        <v>446460</v>
      </c>
      <c r="J16" s="56" t="s">
        <v>1128</v>
      </c>
    </row>
    <row r="17" spans="2:10" ht="30" x14ac:dyDescent="0.2">
      <c r="B17" s="57"/>
      <c r="C17" s="99"/>
      <c r="D17" s="102" t="s">
        <v>35</v>
      </c>
      <c r="E17" s="8" t="s">
        <v>197</v>
      </c>
      <c r="F17" s="101" t="s">
        <v>53</v>
      </c>
      <c r="G17" s="67" t="s">
        <v>705</v>
      </c>
      <c r="H17" s="66" t="s">
        <v>704</v>
      </c>
      <c r="I17" s="30">
        <f>177267+176333+63600</f>
        <v>417200</v>
      </c>
      <c r="J17" s="56" t="s">
        <v>1127</v>
      </c>
    </row>
    <row r="18" spans="2:10" ht="45" x14ac:dyDescent="0.2">
      <c r="B18" s="57"/>
      <c r="C18" s="99"/>
      <c r="D18" s="102" t="s">
        <v>33</v>
      </c>
      <c r="E18" s="8" t="s">
        <v>197</v>
      </c>
      <c r="F18" s="101" t="s">
        <v>54</v>
      </c>
      <c r="G18" s="67" t="s">
        <v>699</v>
      </c>
      <c r="H18" s="66" t="s">
        <v>698</v>
      </c>
      <c r="I18" s="30">
        <f>70533+317400</f>
        <v>387933</v>
      </c>
      <c r="J18" s="56" t="s">
        <v>1126</v>
      </c>
    </row>
    <row r="19" spans="2:10" ht="45" x14ac:dyDescent="0.2">
      <c r="B19" s="57"/>
      <c r="C19" s="99"/>
      <c r="D19" s="102" t="s">
        <v>223</v>
      </c>
      <c r="E19" s="8" t="s">
        <v>197</v>
      </c>
      <c r="F19" s="101" t="s">
        <v>55</v>
      </c>
      <c r="G19" s="67" t="s">
        <v>693</v>
      </c>
      <c r="H19" s="66" t="s">
        <v>693</v>
      </c>
      <c r="I19" s="30">
        <f>249600+119133+211600+211600</f>
        <v>791933</v>
      </c>
      <c r="J19" s="56" t="s">
        <v>1125</v>
      </c>
    </row>
    <row r="20" spans="2:10" ht="30" x14ac:dyDescent="0.2">
      <c r="B20" s="57"/>
      <c r="C20" s="99"/>
      <c r="D20" s="102" t="s">
        <v>224</v>
      </c>
      <c r="E20" s="8" t="s">
        <v>197</v>
      </c>
      <c r="F20" s="101" t="s">
        <v>56</v>
      </c>
      <c r="G20" s="67" t="s">
        <v>696</v>
      </c>
      <c r="H20" s="66" t="s">
        <v>695</v>
      </c>
      <c r="I20" s="30">
        <f>224785+176330</f>
        <v>401115</v>
      </c>
      <c r="J20" s="56" t="s">
        <v>1124</v>
      </c>
    </row>
    <row r="21" spans="2:10" ht="15" customHeight="1" x14ac:dyDescent="0.2">
      <c r="B21" s="57"/>
      <c r="C21" s="99"/>
      <c r="D21" s="106" t="s">
        <v>221</v>
      </c>
      <c r="E21" s="8" t="s">
        <v>197</v>
      </c>
      <c r="F21" s="101" t="s">
        <v>57</v>
      </c>
      <c r="G21" s="67" t="s">
        <v>702</v>
      </c>
      <c r="H21" s="66" t="s">
        <v>701</v>
      </c>
      <c r="I21" s="30">
        <f>844514+844513</f>
        <v>1689027</v>
      </c>
      <c r="J21" s="56" t="s">
        <v>1123</v>
      </c>
    </row>
    <row r="22" spans="2:10" ht="45" x14ac:dyDescent="0.2">
      <c r="B22" s="57"/>
      <c r="C22" s="99"/>
      <c r="D22" s="102" t="s">
        <v>33</v>
      </c>
      <c r="E22" s="8" t="s">
        <v>197</v>
      </c>
      <c r="F22" s="101" t="s">
        <v>58</v>
      </c>
      <c r="G22" s="67" t="s">
        <v>691</v>
      </c>
      <c r="H22" s="66" t="s">
        <v>691</v>
      </c>
      <c r="I22" s="30">
        <v>757418</v>
      </c>
      <c r="J22" s="56" t="s">
        <v>1122</v>
      </c>
    </row>
    <row r="23" spans="2:10" ht="30" x14ac:dyDescent="0.2">
      <c r="B23" s="57"/>
      <c r="C23" s="99"/>
      <c r="D23" s="102" t="s">
        <v>220</v>
      </c>
      <c r="E23" s="8" t="s">
        <v>197</v>
      </c>
      <c r="F23" s="101" t="s">
        <v>59</v>
      </c>
      <c r="G23" s="79" t="s">
        <v>689</v>
      </c>
      <c r="H23" s="78" t="s">
        <v>688</v>
      </c>
      <c r="I23" s="30">
        <v>68712</v>
      </c>
      <c r="J23" s="56" t="s">
        <v>1121</v>
      </c>
    </row>
    <row r="24" spans="2:10" x14ac:dyDescent="0.2">
      <c r="B24" s="57"/>
      <c r="C24" s="99"/>
      <c r="D24" s="106" t="s">
        <v>225</v>
      </c>
      <c r="E24" s="8" t="s">
        <v>197</v>
      </c>
      <c r="F24" s="101" t="s">
        <v>60</v>
      </c>
      <c r="G24" s="67" t="s">
        <v>680</v>
      </c>
      <c r="H24" s="66" t="s">
        <v>679</v>
      </c>
      <c r="I24" s="30">
        <v>0</v>
      </c>
      <c r="J24" s="56"/>
    </row>
    <row r="25" spans="2:10" ht="30" x14ac:dyDescent="0.2">
      <c r="B25" s="57"/>
      <c r="C25" s="99"/>
      <c r="D25" s="102" t="s">
        <v>38</v>
      </c>
      <c r="E25" s="8" t="s">
        <v>197</v>
      </c>
      <c r="F25" s="101" t="s">
        <v>61</v>
      </c>
      <c r="G25" s="67" t="s">
        <v>675</v>
      </c>
      <c r="H25" s="66" t="s">
        <v>674</v>
      </c>
      <c r="I25" s="29">
        <f>218414+387933</f>
        <v>606347</v>
      </c>
      <c r="J25" s="56" t="s">
        <v>1120</v>
      </c>
    </row>
    <row r="26" spans="2:10" ht="30" x14ac:dyDescent="0.2">
      <c r="B26" s="57"/>
      <c r="C26" s="99"/>
      <c r="D26" s="106" t="s">
        <v>25</v>
      </c>
      <c r="E26" s="8" t="s">
        <v>197</v>
      </c>
      <c r="F26" s="101" t="s">
        <v>62</v>
      </c>
      <c r="G26" s="67" t="s">
        <v>677</v>
      </c>
      <c r="H26" s="66" t="s">
        <v>676</v>
      </c>
      <c r="I26" s="30">
        <v>211600</v>
      </c>
      <c r="J26" s="56" t="s">
        <v>1119</v>
      </c>
    </row>
    <row r="27" spans="2:10" ht="45" x14ac:dyDescent="0.2">
      <c r="B27" s="57"/>
      <c r="C27" s="99"/>
      <c r="D27" s="102" t="s">
        <v>226</v>
      </c>
      <c r="E27" s="8" t="s">
        <v>197</v>
      </c>
      <c r="F27" s="101" t="s">
        <v>63</v>
      </c>
      <c r="G27" s="67" t="s">
        <v>672</v>
      </c>
      <c r="H27" s="66" t="s">
        <v>671</v>
      </c>
      <c r="I27" s="30">
        <f>211600+211600+74799</f>
        <v>497999</v>
      </c>
      <c r="J27" s="56" t="s">
        <v>1118</v>
      </c>
    </row>
    <row r="28" spans="2:10" ht="45" x14ac:dyDescent="0.2">
      <c r="B28" s="57"/>
      <c r="C28" s="99"/>
      <c r="D28" s="102" t="s">
        <v>227</v>
      </c>
      <c r="E28" s="8" t="s">
        <v>197</v>
      </c>
      <c r="F28" s="105" t="s">
        <v>64</v>
      </c>
      <c r="G28" s="67" t="s">
        <v>668</v>
      </c>
      <c r="H28" s="66" t="s">
        <v>667</v>
      </c>
      <c r="I28" s="29">
        <v>378199</v>
      </c>
      <c r="J28" s="56" t="s">
        <v>1117</v>
      </c>
    </row>
    <row r="29" spans="2:10" ht="30" x14ac:dyDescent="0.2">
      <c r="B29" s="57"/>
      <c r="C29" s="99"/>
      <c r="D29" s="102" t="s">
        <v>228</v>
      </c>
      <c r="E29" s="8" t="s">
        <v>197</v>
      </c>
      <c r="F29" s="105" t="s">
        <v>65</v>
      </c>
      <c r="G29" s="59" t="s">
        <v>683</v>
      </c>
      <c r="H29" s="59" t="s">
        <v>682</v>
      </c>
      <c r="I29" s="29">
        <v>157500</v>
      </c>
      <c r="J29" s="56" t="s">
        <v>1116</v>
      </c>
    </row>
    <row r="30" spans="2:10" x14ac:dyDescent="0.2">
      <c r="B30" s="57"/>
      <c r="C30" s="99"/>
      <c r="D30" s="106" t="s">
        <v>229</v>
      </c>
      <c r="E30" s="8" t="s">
        <v>197</v>
      </c>
      <c r="F30" s="107" t="s">
        <v>66</v>
      </c>
      <c r="I30" s="29"/>
      <c r="J30" s="56"/>
    </row>
    <row r="31" spans="2:10" ht="15" customHeight="1" x14ac:dyDescent="0.2">
      <c r="B31" s="57"/>
      <c r="C31" s="99"/>
      <c r="D31" s="102" t="s">
        <v>230</v>
      </c>
      <c r="E31" s="8" t="s">
        <v>197</v>
      </c>
      <c r="F31" s="105" t="s">
        <v>67</v>
      </c>
      <c r="G31" s="60" t="s">
        <v>665</v>
      </c>
      <c r="H31" s="59" t="s">
        <v>664</v>
      </c>
      <c r="I31" s="30">
        <f>209400+209425</f>
        <v>418825</v>
      </c>
      <c r="J31" s="56" t="s">
        <v>1115</v>
      </c>
    </row>
    <row r="32" spans="2:10" ht="15" customHeight="1" x14ac:dyDescent="0.2">
      <c r="B32" s="57"/>
      <c r="C32" s="99"/>
      <c r="D32" s="102" t="s">
        <v>231</v>
      </c>
      <c r="E32" s="8" t="s">
        <v>197</v>
      </c>
      <c r="F32" s="101" t="s">
        <v>68</v>
      </c>
      <c r="G32" s="65" t="s">
        <v>662</v>
      </c>
      <c r="H32" s="68" t="s">
        <v>661</v>
      </c>
      <c r="I32" s="29">
        <f>421680+403040</f>
        <v>824720</v>
      </c>
      <c r="J32" s="56" t="s">
        <v>1114</v>
      </c>
    </row>
    <row r="33" spans="2:10" ht="30" x14ac:dyDescent="0.2">
      <c r="B33" s="57"/>
      <c r="C33" s="99"/>
      <c r="D33" s="102" t="s">
        <v>24</v>
      </c>
      <c r="E33" s="8" t="s">
        <v>197</v>
      </c>
      <c r="F33" s="101" t="s">
        <v>69</v>
      </c>
      <c r="G33" s="62" t="s">
        <v>659</v>
      </c>
      <c r="H33" s="61" t="s">
        <v>658</v>
      </c>
      <c r="I33" s="29">
        <f>211600+211600</f>
        <v>423200</v>
      </c>
      <c r="J33" s="56" t="s">
        <v>1113</v>
      </c>
    </row>
    <row r="34" spans="2:10" ht="30" x14ac:dyDescent="0.2">
      <c r="B34" s="57"/>
      <c r="C34" s="99"/>
      <c r="D34" s="102" t="s">
        <v>225</v>
      </c>
      <c r="E34" s="8" t="s">
        <v>197</v>
      </c>
      <c r="F34" s="101" t="s">
        <v>70</v>
      </c>
      <c r="G34" s="77" t="s">
        <v>656</v>
      </c>
      <c r="H34" s="59" t="s">
        <v>655</v>
      </c>
      <c r="I34" s="29">
        <f>139600+283600</f>
        <v>423200</v>
      </c>
      <c r="J34" s="56" t="s">
        <v>1113</v>
      </c>
    </row>
    <row r="35" spans="2:10" ht="30" x14ac:dyDescent="0.2">
      <c r="B35" s="57"/>
      <c r="C35" s="99"/>
      <c r="D35" s="102" t="s">
        <v>232</v>
      </c>
      <c r="E35" s="8" t="s">
        <v>197</v>
      </c>
      <c r="F35" s="101" t="s">
        <v>71</v>
      </c>
      <c r="G35" s="62" t="s">
        <v>653</v>
      </c>
      <c r="H35" s="76" t="s">
        <v>652</v>
      </c>
      <c r="I35" s="29">
        <f>323259+486720+24000+162236</f>
        <v>996215</v>
      </c>
      <c r="J35" s="56" t="s">
        <v>1112</v>
      </c>
    </row>
    <row r="36" spans="2:10" ht="45" x14ac:dyDescent="0.2">
      <c r="B36" s="57"/>
      <c r="C36" s="99"/>
      <c r="D36" s="102" t="s">
        <v>233</v>
      </c>
      <c r="E36" s="8" t="s">
        <v>197</v>
      </c>
      <c r="F36" s="101" t="s">
        <v>72</v>
      </c>
      <c r="G36" s="65" t="s">
        <v>1111</v>
      </c>
      <c r="H36" s="59" t="s">
        <v>1110</v>
      </c>
      <c r="I36" s="29">
        <f>368515+154179</f>
        <v>522694</v>
      </c>
      <c r="J36" s="56" t="s">
        <v>1109</v>
      </c>
    </row>
    <row r="37" spans="2:10" ht="15" customHeight="1" x14ac:dyDescent="0.2">
      <c r="B37" s="57"/>
      <c r="C37" s="99"/>
      <c r="D37" s="106" t="s">
        <v>234</v>
      </c>
      <c r="E37" s="8" t="s">
        <v>197</v>
      </c>
      <c r="F37" s="105" t="s">
        <v>73</v>
      </c>
      <c r="G37" s="60"/>
      <c r="H37" s="59"/>
      <c r="I37" s="29">
        <f>300000+250000+400000+200000</f>
        <v>1150000</v>
      </c>
      <c r="J37" s="56" t="s">
        <v>1108</v>
      </c>
    </row>
    <row r="38" spans="2:10" ht="15" customHeight="1" x14ac:dyDescent="0.2">
      <c r="B38" s="57"/>
      <c r="C38" s="99"/>
      <c r="D38" s="106" t="s">
        <v>26</v>
      </c>
      <c r="E38" s="8" t="s">
        <v>197</v>
      </c>
      <c r="F38" s="107" t="s">
        <v>74</v>
      </c>
      <c r="G38" s="67" t="s">
        <v>812</v>
      </c>
      <c r="H38" s="59" t="s">
        <v>811</v>
      </c>
      <c r="I38" s="29">
        <f>1171843+820390+205098</f>
        <v>2197331</v>
      </c>
      <c r="J38" s="56" t="s">
        <v>1107</v>
      </c>
    </row>
    <row r="39" spans="2:10" ht="15" customHeight="1" x14ac:dyDescent="0.2">
      <c r="B39" s="57"/>
      <c r="C39" s="99"/>
      <c r="D39" s="106" t="s">
        <v>235</v>
      </c>
      <c r="E39" s="8" t="s">
        <v>197</v>
      </c>
      <c r="F39" s="101" t="s">
        <v>75</v>
      </c>
      <c r="G39" s="65" t="s">
        <v>805</v>
      </c>
      <c r="H39" s="59" t="s">
        <v>804</v>
      </c>
      <c r="I39" s="29">
        <f>1781860+1250000</f>
        <v>3031860</v>
      </c>
      <c r="J39" s="56" t="s">
        <v>1106</v>
      </c>
    </row>
    <row r="40" spans="2:10" ht="15" customHeight="1" x14ac:dyDescent="0.2">
      <c r="B40" s="57"/>
      <c r="C40" s="99"/>
      <c r="D40" s="102" t="s">
        <v>236</v>
      </c>
      <c r="E40" s="8" t="s">
        <v>197</v>
      </c>
      <c r="F40" s="101" t="s">
        <v>76</v>
      </c>
      <c r="G40" s="60" t="s">
        <v>931</v>
      </c>
      <c r="H40" s="59" t="s">
        <v>930</v>
      </c>
      <c r="I40" s="29"/>
      <c r="J40" s="56"/>
    </row>
    <row r="41" spans="2:10" ht="45" x14ac:dyDescent="0.2">
      <c r="B41" s="57"/>
      <c r="C41" s="99"/>
      <c r="D41" s="106" t="s">
        <v>38</v>
      </c>
      <c r="E41" s="8" t="s">
        <v>197</v>
      </c>
      <c r="F41" s="101" t="s">
        <v>77</v>
      </c>
      <c r="G41" s="65" t="s">
        <v>796</v>
      </c>
      <c r="H41" s="59" t="s">
        <v>795</v>
      </c>
      <c r="I41" s="29">
        <f>207578+207648</f>
        <v>415226</v>
      </c>
      <c r="J41" s="56" t="s">
        <v>1105</v>
      </c>
    </row>
    <row r="42" spans="2:10" ht="15" customHeight="1" x14ac:dyDescent="0.2">
      <c r="B42" s="57"/>
      <c r="C42" s="99"/>
      <c r="D42" s="106" t="s">
        <v>26</v>
      </c>
      <c r="E42" s="8" t="s">
        <v>197</v>
      </c>
      <c r="F42" s="101" t="s">
        <v>78</v>
      </c>
      <c r="G42" s="65" t="s">
        <v>793</v>
      </c>
      <c r="H42" s="59" t="s">
        <v>792</v>
      </c>
      <c r="I42" s="29">
        <v>0</v>
      </c>
      <c r="J42" s="56"/>
    </row>
    <row r="43" spans="2:10" ht="15" customHeight="1" x14ac:dyDescent="0.2">
      <c r="B43" s="57"/>
      <c r="C43" s="99"/>
      <c r="D43" s="106" t="s">
        <v>31</v>
      </c>
      <c r="E43" s="8" t="s">
        <v>197</v>
      </c>
      <c r="F43" s="101" t="s">
        <v>79</v>
      </c>
      <c r="G43" s="65" t="s">
        <v>789</v>
      </c>
      <c r="H43" s="59" t="s">
        <v>788</v>
      </c>
      <c r="I43" s="29">
        <v>77000</v>
      </c>
      <c r="J43" s="56" t="s">
        <v>736</v>
      </c>
    </row>
    <row r="44" spans="2:10" ht="30" x14ac:dyDescent="0.2">
      <c r="B44" s="57"/>
      <c r="C44" s="99"/>
      <c r="D44" s="106" t="s">
        <v>33</v>
      </c>
      <c r="E44" s="8" t="s">
        <v>197</v>
      </c>
      <c r="F44" s="101" t="s">
        <v>80</v>
      </c>
      <c r="G44" s="60" t="s">
        <v>786</v>
      </c>
      <c r="H44" s="59" t="s">
        <v>785</v>
      </c>
      <c r="I44" s="29">
        <v>283600</v>
      </c>
      <c r="J44" s="56" t="s">
        <v>1104</v>
      </c>
    </row>
    <row r="45" spans="2:10" ht="26" x14ac:dyDescent="0.2">
      <c r="B45" s="57"/>
      <c r="C45" s="99"/>
      <c r="D45" s="120" t="s">
        <v>237</v>
      </c>
      <c r="E45" s="20" t="s">
        <v>197</v>
      </c>
      <c r="F45" s="101" t="s">
        <v>81</v>
      </c>
      <c r="G45" s="60" t="s">
        <v>775</v>
      </c>
      <c r="H45" s="59" t="s">
        <v>774</v>
      </c>
      <c r="I45" s="31">
        <v>0</v>
      </c>
      <c r="J45" s="56"/>
    </row>
    <row r="46" spans="2:10" ht="15" customHeight="1" x14ac:dyDescent="0.2">
      <c r="B46" s="57"/>
      <c r="C46" s="99"/>
      <c r="D46" s="106" t="s">
        <v>220</v>
      </c>
      <c r="E46" s="8" t="s">
        <v>197</v>
      </c>
      <c r="F46" s="101" t="s">
        <v>82</v>
      </c>
      <c r="G46" s="60" t="s">
        <v>779</v>
      </c>
      <c r="H46" s="59" t="s">
        <v>778</v>
      </c>
      <c r="I46" s="29">
        <v>24000</v>
      </c>
      <c r="J46" s="56" t="s">
        <v>1103</v>
      </c>
    </row>
    <row r="47" spans="2:10" ht="15" customHeight="1" x14ac:dyDescent="0.2">
      <c r="B47" s="57"/>
      <c r="C47" s="99"/>
      <c r="D47" s="107" t="s">
        <v>238</v>
      </c>
      <c r="E47" s="8" t="s">
        <v>197</v>
      </c>
      <c r="F47" s="101" t="s">
        <v>83</v>
      </c>
      <c r="G47" s="65" t="s">
        <v>924</v>
      </c>
      <c r="H47" s="98" t="s">
        <v>923</v>
      </c>
      <c r="I47" s="29">
        <v>0</v>
      </c>
      <c r="J47" s="56"/>
    </row>
    <row r="48" spans="2:10" ht="39" x14ac:dyDescent="0.2">
      <c r="B48" s="57"/>
      <c r="C48" s="99"/>
      <c r="D48" s="106" t="s">
        <v>26</v>
      </c>
      <c r="E48" s="8" t="s">
        <v>197</v>
      </c>
      <c r="F48" s="101" t="s">
        <v>84</v>
      </c>
      <c r="G48" s="60" t="s">
        <v>771</v>
      </c>
      <c r="H48" s="59" t="s">
        <v>770</v>
      </c>
      <c r="I48" s="29">
        <v>0</v>
      </c>
      <c r="J48" s="56"/>
    </row>
    <row r="49" spans="2:10" ht="52" x14ac:dyDescent="0.2">
      <c r="B49" s="57"/>
      <c r="C49" s="99"/>
      <c r="D49" s="102" t="s">
        <v>239</v>
      </c>
      <c r="E49" s="8" t="s">
        <v>197</v>
      </c>
      <c r="F49" s="101" t="s">
        <v>85</v>
      </c>
      <c r="G49" s="60" t="s">
        <v>767</v>
      </c>
      <c r="H49" s="59" t="s">
        <v>766</v>
      </c>
      <c r="I49" s="29">
        <v>445106</v>
      </c>
      <c r="J49" s="56" t="s">
        <v>1102</v>
      </c>
    </row>
    <row r="50" spans="2:10" ht="26" x14ac:dyDescent="0.2">
      <c r="B50" s="57"/>
      <c r="C50" s="99"/>
      <c r="D50" s="101" t="s">
        <v>240</v>
      </c>
      <c r="E50" s="8" t="s">
        <v>197</v>
      </c>
      <c r="F50" s="101" t="s">
        <v>86</v>
      </c>
      <c r="G50" s="60" t="s">
        <v>763</v>
      </c>
      <c r="H50" s="59" t="s">
        <v>762</v>
      </c>
      <c r="I50" s="29"/>
      <c r="J50" s="56"/>
    </row>
    <row r="51" spans="2:10" ht="15" customHeight="1" x14ac:dyDescent="0.2">
      <c r="B51" s="57"/>
      <c r="C51" s="99"/>
      <c r="D51" s="102" t="s">
        <v>217</v>
      </c>
      <c r="E51" s="8" t="s">
        <v>197</v>
      </c>
      <c r="F51" s="101" t="s">
        <v>87</v>
      </c>
      <c r="G51" s="60" t="s">
        <v>754</v>
      </c>
      <c r="H51" s="59" t="s">
        <v>753</v>
      </c>
      <c r="I51" s="29">
        <v>386720</v>
      </c>
      <c r="J51" s="56" t="s">
        <v>1101</v>
      </c>
    </row>
    <row r="52" spans="2:10" ht="30" x14ac:dyDescent="0.2">
      <c r="B52" s="57"/>
      <c r="C52" s="99"/>
      <c r="D52" s="102" t="s">
        <v>24</v>
      </c>
      <c r="E52" s="8" t="s">
        <v>197</v>
      </c>
      <c r="F52" s="105" t="s">
        <v>88</v>
      </c>
      <c r="G52" s="62" t="s">
        <v>1100</v>
      </c>
      <c r="H52" s="61" t="s">
        <v>1099</v>
      </c>
      <c r="I52" s="29">
        <f>93067+282133+69290</f>
        <v>444490</v>
      </c>
      <c r="J52" s="56" t="s">
        <v>1098</v>
      </c>
    </row>
    <row r="53" spans="2:10" ht="30" x14ac:dyDescent="0.2">
      <c r="B53" s="57"/>
      <c r="C53" s="99"/>
      <c r="D53" s="102" t="s">
        <v>231</v>
      </c>
      <c r="E53" s="8" t="s">
        <v>197</v>
      </c>
      <c r="F53" s="105" t="s">
        <v>89</v>
      </c>
      <c r="G53" s="60" t="s">
        <v>875</v>
      </c>
      <c r="H53" s="59" t="s">
        <v>874</v>
      </c>
      <c r="I53" s="29">
        <v>92051</v>
      </c>
      <c r="J53" s="56" t="s">
        <v>1097</v>
      </c>
    </row>
    <row r="54" spans="2:10" ht="30" x14ac:dyDescent="0.2">
      <c r="B54" s="57"/>
      <c r="C54" s="99"/>
      <c r="D54" s="102" t="s">
        <v>231</v>
      </c>
      <c r="E54" s="8" t="s">
        <v>197</v>
      </c>
      <c r="F54" s="105" t="s">
        <v>90</v>
      </c>
      <c r="G54" s="60" t="s">
        <v>873</v>
      </c>
      <c r="H54" s="59" t="s">
        <v>872</v>
      </c>
      <c r="I54" s="29">
        <f>244503+211600</f>
        <v>456103</v>
      </c>
      <c r="J54" s="56" t="s">
        <v>1096</v>
      </c>
    </row>
    <row r="55" spans="2:10" ht="15" customHeight="1" x14ac:dyDescent="0.2">
      <c r="B55" s="57"/>
      <c r="C55" s="99"/>
      <c r="D55" s="102" t="s">
        <v>241</v>
      </c>
      <c r="E55" s="8" t="s">
        <v>197</v>
      </c>
      <c r="F55" s="105" t="s">
        <v>91</v>
      </c>
      <c r="G55" s="65" t="s">
        <v>870</v>
      </c>
      <c r="H55" s="59" t="s">
        <v>869</v>
      </c>
      <c r="I55" s="29">
        <v>453238</v>
      </c>
      <c r="J55" s="56" t="s">
        <v>1095</v>
      </c>
    </row>
    <row r="56" spans="2:10" ht="15" customHeight="1" x14ac:dyDescent="0.2">
      <c r="B56" s="57"/>
      <c r="C56" s="99"/>
      <c r="D56" s="102" t="s">
        <v>24</v>
      </c>
      <c r="E56" s="8" t="s">
        <v>197</v>
      </c>
      <c r="F56" s="105" t="s">
        <v>92</v>
      </c>
      <c r="G56" s="60" t="s">
        <v>867</v>
      </c>
      <c r="H56" s="59" t="s">
        <v>866</v>
      </c>
      <c r="I56" s="29">
        <f>70532+211600+183262</f>
        <v>465394</v>
      </c>
      <c r="J56" s="56" t="s">
        <v>1094</v>
      </c>
    </row>
    <row r="57" spans="2:10" ht="39" x14ac:dyDescent="0.2">
      <c r="B57" s="57"/>
      <c r="C57" s="99"/>
      <c r="D57" s="102" t="s">
        <v>242</v>
      </c>
      <c r="E57" s="8" t="s">
        <v>197</v>
      </c>
      <c r="F57" s="101" t="s">
        <v>93</v>
      </c>
      <c r="G57" s="65" t="s">
        <v>1093</v>
      </c>
      <c r="H57" s="59" t="s">
        <v>1092</v>
      </c>
      <c r="I57" s="29">
        <f>273536+211600</f>
        <v>485136</v>
      </c>
      <c r="J57" s="56" t="s">
        <v>1091</v>
      </c>
    </row>
    <row r="58" spans="2:10" ht="30" x14ac:dyDescent="0.2">
      <c r="B58" s="57"/>
      <c r="C58" s="99"/>
      <c r="D58" s="102" t="s">
        <v>24</v>
      </c>
      <c r="E58" s="8" t="s">
        <v>197</v>
      </c>
      <c r="F58" s="101" t="s">
        <v>94</v>
      </c>
      <c r="G58" s="60" t="s">
        <v>861</v>
      </c>
      <c r="H58" s="59" t="s">
        <v>860</v>
      </c>
      <c r="I58" s="29">
        <f>211600+98400+105800</f>
        <v>415800</v>
      </c>
      <c r="J58" s="56" t="s">
        <v>1090</v>
      </c>
    </row>
    <row r="59" spans="2:10" ht="30" x14ac:dyDescent="0.2">
      <c r="B59" s="57"/>
      <c r="C59" s="99"/>
      <c r="D59" s="102" t="s">
        <v>243</v>
      </c>
      <c r="E59" s="8" t="s">
        <v>197</v>
      </c>
      <c r="F59" s="101" t="s">
        <v>95</v>
      </c>
      <c r="G59" s="62" t="s">
        <v>1089</v>
      </c>
      <c r="H59" s="61" t="s">
        <v>1088</v>
      </c>
      <c r="I59" s="29">
        <f>418180</f>
        <v>418180</v>
      </c>
      <c r="J59" s="56" t="s">
        <v>1087</v>
      </c>
    </row>
    <row r="60" spans="2:10" ht="15" customHeight="1" x14ac:dyDescent="0.2">
      <c r="B60" s="57"/>
      <c r="C60" s="99"/>
      <c r="D60" s="102" t="s">
        <v>244</v>
      </c>
      <c r="E60" s="8" t="s">
        <v>197</v>
      </c>
      <c r="F60" s="101" t="s">
        <v>96</v>
      </c>
      <c r="G60" s="65" t="s">
        <v>1086</v>
      </c>
      <c r="H60" s="59" t="s">
        <v>1085</v>
      </c>
      <c r="I60" s="29">
        <f>268800+56000</f>
        <v>324800</v>
      </c>
      <c r="J60" s="56" t="s">
        <v>1084</v>
      </c>
    </row>
    <row r="61" spans="2:10" ht="15" customHeight="1" x14ac:dyDescent="0.2">
      <c r="B61" s="57"/>
      <c r="C61" s="99"/>
      <c r="D61" s="107"/>
      <c r="E61" s="8"/>
      <c r="F61" s="119" t="s">
        <v>97</v>
      </c>
      <c r="G61" s="60"/>
      <c r="H61" s="59"/>
      <c r="I61" s="29">
        <v>211600</v>
      </c>
      <c r="J61" s="56" t="s">
        <v>1083</v>
      </c>
    </row>
    <row r="62" spans="2:10" ht="15" customHeight="1" x14ac:dyDescent="0.2">
      <c r="B62" s="57"/>
      <c r="C62" s="99"/>
      <c r="D62" s="102" t="s">
        <v>245</v>
      </c>
      <c r="E62" s="8" t="s">
        <v>197</v>
      </c>
      <c r="F62" s="101" t="s">
        <v>98</v>
      </c>
      <c r="G62" s="62" t="s">
        <v>1082</v>
      </c>
      <c r="H62" s="59" t="s">
        <v>954</v>
      </c>
      <c r="I62" s="29">
        <v>575152</v>
      </c>
      <c r="J62" s="56" t="s">
        <v>1081</v>
      </c>
    </row>
    <row r="63" spans="2:10" ht="15" customHeight="1" x14ac:dyDescent="0.2">
      <c r="B63" s="57"/>
      <c r="C63" s="99"/>
      <c r="D63" s="102" t="s">
        <v>246</v>
      </c>
      <c r="E63" s="8" t="s">
        <v>197</v>
      </c>
      <c r="F63" s="105" t="s">
        <v>99</v>
      </c>
      <c r="G63" s="60" t="s">
        <v>1080</v>
      </c>
      <c r="H63" s="59" t="s">
        <v>1079</v>
      </c>
      <c r="I63" s="29">
        <f>211600+63869+211600</f>
        <v>487069</v>
      </c>
      <c r="J63" s="56" t="s">
        <v>1078</v>
      </c>
    </row>
    <row r="64" spans="2:10" ht="28" x14ac:dyDescent="0.2">
      <c r="B64" s="57"/>
      <c r="C64" s="99"/>
      <c r="D64" s="102" t="s">
        <v>247</v>
      </c>
      <c r="E64" s="8" t="s">
        <v>197</v>
      </c>
      <c r="F64" s="101" t="s">
        <v>100</v>
      </c>
      <c r="G64" s="65" t="s">
        <v>1077</v>
      </c>
      <c r="H64" s="59" t="s">
        <v>1076</v>
      </c>
      <c r="I64" s="29">
        <v>0</v>
      </c>
      <c r="J64" s="56"/>
    </row>
    <row r="65" spans="2:10" ht="30" x14ac:dyDescent="0.2">
      <c r="B65" s="57"/>
      <c r="C65" s="99"/>
      <c r="D65" s="5" t="s">
        <v>248</v>
      </c>
      <c r="E65" s="7" t="s">
        <v>197</v>
      </c>
      <c r="F65" s="4" t="s">
        <v>101</v>
      </c>
      <c r="G65" s="65" t="s">
        <v>1075</v>
      </c>
      <c r="H65" s="59" t="s">
        <v>1074</v>
      </c>
      <c r="I65" s="29">
        <f>726253+726253</f>
        <v>1452506</v>
      </c>
      <c r="J65" s="56" t="s">
        <v>1073</v>
      </c>
    </row>
    <row r="66" spans="2:10" ht="45" x14ac:dyDescent="0.2">
      <c r="B66" s="57"/>
      <c r="C66" s="99"/>
      <c r="D66" s="5" t="s">
        <v>246</v>
      </c>
      <c r="E66" s="7" t="s">
        <v>197</v>
      </c>
      <c r="F66" s="4" t="s">
        <v>102</v>
      </c>
      <c r="G66" s="65" t="s">
        <v>1072</v>
      </c>
      <c r="H66" s="68">
        <v>42097</v>
      </c>
      <c r="I66" s="29">
        <f>695398+695398</f>
        <v>1390796</v>
      </c>
      <c r="J66" s="56" t="s">
        <v>1071</v>
      </c>
    </row>
    <row r="67" spans="2:10" ht="45" x14ac:dyDescent="0.2">
      <c r="B67" s="57"/>
      <c r="C67" s="99"/>
      <c r="D67" s="5" t="s">
        <v>249</v>
      </c>
      <c r="E67" s="7" t="s">
        <v>197</v>
      </c>
      <c r="F67" s="4" t="s">
        <v>103</v>
      </c>
      <c r="G67" s="65" t="s">
        <v>1070</v>
      </c>
      <c r="H67" s="68">
        <v>42222</v>
      </c>
      <c r="I67" s="29">
        <v>4151310</v>
      </c>
      <c r="J67" s="56" t="s">
        <v>1069</v>
      </c>
    </row>
    <row r="68" spans="2:10" ht="30" x14ac:dyDescent="0.2">
      <c r="B68" s="57"/>
      <c r="C68" s="99"/>
      <c r="D68" s="5" t="s">
        <v>250</v>
      </c>
      <c r="E68" s="7" t="s">
        <v>197</v>
      </c>
      <c r="F68" s="4" t="s">
        <v>104</v>
      </c>
      <c r="G68" s="65" t="s">
        <v>1068</v>
      </c>
      <c r="H68" s="59" t="s">
        <v>1067</v>
      </c>
      <c r="I68" s="29">
        <f>40180+301500+316680</f>
        <v>658360</v>
      </c>
      <c r="J68" s="56" t="s">
        <v>1066</v>
      </c>
    </row>
    <row r="69" spans="2:10" ht="30" x14ac:dyDescent="0.2">
      <c r="B69" s="57"/>
      <c r="C69" s="99"/>
      <c r="D69" s="5" t="s">
        <v>251</v>
      </c>
      <c r="E69" s="7" t="s">
        <v>197</v>
      </c>
      <c r="F69" s="4" t="s">
        <v>105</v>
      </c>
      <c r="G69" s="65" t="s">
        <v>1065</v>
      </c>
      <c r="H69" s="68">
        <v>42250</v>
      </c>
      <c r="I69" s="29">
        <f>87780+429940+526680</f>
        <v>1044400</v>
      </c>
      <c r="J69" s="56" t="s">
        <v>1064</v>
      </c>
    </row>
    <row r="70" spans="2:10" ht="45" x14ac:dyDescent="0.2">
      <c r="B70" s="57"/>
      <c r="C70" s="99"/>
      <c r="D70" s="5" t="s">
        <v>252</v>
      </c>
      <c r="E70" s="7" t="s">
        <v>197</v>
      </c>
      <c r="F70" s="4" t="s">
        <v>106</v>
      </c>
      <c r="G70" s="65" t="s">
        <v>1063</v>
      </c>
      <c r="H70" s="59" t="s">
        <v>1062</v>
      </c>
      <c r="I70" s="29">
        <f>121979+618268</f>
        <v>740247</v>
      </c>
      <c r="J70" s="56" t="s">
        <v>1061</v>
      </c>
    </row>
    <row r="71" spans="2:10" ht="40" x14ac:dyDescent="0.2">
      <c r="B71" s="57"/>
      <c r="C71" s="99"/>
      <c r="D71" s="5" t="s">
        <v>253</v>
      </c>
      <c r="E71" s="7" t="s">
        <v>197</v>
      </c>
      <c r="F71" s="4" t="s">
        <v>107</v>
      </c>
      <c r="G71" s="118" t="s">
        <v>1060</v>
      </c>
      <c r="H71" s="59" t="s">
        <v>1059</v>
      </c>
      <c r="I71" s="29">
        <v>521000</v>
      </c>
      <c r="J71" s="56" t="s">
        <v>1058</v>
      </c>
    </row>
    <row r="72" spans="2:10" ht="45" x14ac:dyDescent="0.2">
      <c r="B72" s="57"/>
      <c r="C72" s="99"/>
      <c r="D72" s="5" t="s">
        <v>254</v>
      </c>
      <c r="E72" s="7" t="s">
        <v>197</v>
      </c>
      <c r="F72" s="4" t="s">
        <v>108</v>
      </c>
      <c r="G72" s="65" t="s">
        <v>1057</v>
      </c>
      <c r="H72" s="59" t="s">
        <v>1056</v>
      </c>
      <c r="I72" s="29">
        <f>570414+570414</f>
        <v>1140828</v>
      </c>
      <c r="J72" s="56" t="s">
        <v>1055</v>
      </c>
    </row>
    <row r="73" spans="2:10" ht="30" x14ac:dyDescent="0.2">
      <c r="B73" s="57"/>
      <c r="C73" s="99"/>
      <c r="D73" s="5" t="s">
        <v>18</v>
      </c>
      <c r="E73" s="7" t="s">
        <v>198</v>
      </c>
      <c r="F73" s="4" t="s">
        <v>109</v>
      </c>
      <c r="G73" s="65" t="s">
        <v>1054</v>
      </c>
      <c r="H73" s="59" t="s">
        <v>1053</v>
      </c>
      <c r="I73" s="29">
        <v>109213</v>
      </c>
      <c r="J73" s="56" t="s">
        <v>1052</v>
      </c>
    </row>
    <row r="74" spans="2:10" ht="30" x14ac:dyDescent="0.2">
      <c r="B74" s="57"/>
      <c r="C74" s="99"/>
      <c r="D74" s="5" t="s">
        <v>255</v>
      </c>
      <c r="E74" s="7" t="s">
        <v>198</v>
      </c>
      <c r="F74" s="4" t="s">
        <v>110</v>
      </c>
      <c r="G74" s="65" t="s">
        <v>1051</v>
      </c>
      <c r="H74" s="59"/>
      <c r="I74" s="29">
        <v>1409040</v>
      </c>
      <c r="J74" s="56" t="s">
        <v>1050</v>
      </c>
    </row>
    <row r="75" spans="2:10" ht="45" x14ac:dyDescent="0.2">
      <c r="B75" s="57"/>
      <c r="C75" s="99"/>
      <c r="D75" s="24" t="s">
        <v>235</v>
      </c>
      <c r="E75" s="21" t="s">
        <v>197</v>
      </c>
      <c r="F75" s="4" t="s">
        <v>111</v>
      </c>
      <c r="G75" s="67" t="s">
        <v>802</v>
      </c>
      <c r="H75" s="59" t="s">
        <v>801</v>
      </c>
      <c r="I75" s="29">
        <f>351861+104117</f>
        <v>455978</v>
      </c>
      <c r="J75" s="56" t="s">
        <v>1049</v>
      </c>
    </row>
    <row r="76" spans="2:10" ht="45" x14ac:dyDescent="0.2">
      <c r="B76" s="57"/>
      <c r="C76" s="99"/>
      <c r="D76" s="5" t="s">
        <v>27</v>
      </c>
      <c r="E76" s="21" t="s">
        <v>197</v>
      </c>
      <c r="F76" s="4" t="s">
        <v>112</v>
      </c>
      <c r="G76" s="65" t="s">
        <v>686</v>
      </c>
      <c r="H76" s="59" t="s">
        <v>685</v>
      </c>
      <c r="I76" s="29">
        <v>390958</v>
      </c>
      <c r="J76" s="56" t="s">
        <v>1048</v>
      </c>
    </row>
    <row r="77" spans="2:10" ht="30" x14ac:dyDescent="0.2">
      <c r="B77" s="57"/>
      <c r="C77" s="99"/>
      <c r="D77" s="25" t="s">
        <v>21</v>
      </c>
      <c r="E77" s="21" t="s">
        <v>197</v>
      </c>
      <c r="F77" s="17" t="s">
        <v>113</v>
      </c>
      <c r="G77" s="60" t="s">
        <v>1047</v>
      </c>
      <c r="H77" s="59" t="s">
        <v>1046</v>
      </c>
      <c r="I77" s="29">
        <v>16258</v>
      </c>
      <c r="J77" s="56" t="s">
        <v>1045</v>
      </c>
    </row>
    <row r="78" spans="2:10" ht="30" x14ac:dyDescent="0.2">
      <c r="B78" s="57"/>
      <c r="C78" s="99"/>
      <c r="D78" s="24" t="s">
        <v>218</v>
      </c>
      <c r="E78" s="21" t="s">
        <v>197</v>
      </c>
      <c r="F78" s="4" t="s">
        <v>114</v>
      </c>
      <c r="G78" s="65" t="s">
        <v>783</v>
      </c>
      <c r="H78" s="59" t="s">
        <v>782</v>
      </c>
      <c r="I78" s="29">
        <v>48722</v>
      </c>
      <c r="J78" s="56" t="s">
        <v>1044</v>
      </c>
    </row>
    <row r="79" spans="2:10" x14ac:dyDescent="0.2">
      <c r="B79" s="57"/>
      <c r="C79" s="99"/>
      <c r="D79" s="5" t="s">
        <v>33</v>
      </c>
      <c r="E79" s="21" t="s">
        <v>197</v>
      </c>
      <c r="F79" s="4" t="s">
        <v>115</v>
      </c>
      <c r="G79" s="60" t="s">
        <v>760</v>
      </c>
      <c r="H79" s="59" t="s">
        <v>759</v>
      </c>
      <c r="I79" s="29">
        <v>48000</v>
      </c>
      <c r="J79" s="56" t="s">
        <v>1043</v>
      </c>
    </row>
    <row r="80" spans="2:10" x14ac:dyDescent="0.2">
      <c r="B80" s="57"/>
      <c r="C80" s="99"/>
      <c r="D80" s="5" t="s">
        <v>256</v>
      </c>
      <c r="E80" s="7" t="s">
        <v>198</v>
      </c>
      <c r="F80" s="4" t="s">
        <v>116</v>
      </c>
      <c r="G80" s="65" t="s">
        <v>1042</v>
      </c>
      <c r="H80" s="59" t="s">
        <v>1041</v>
      </c>
      <c r="I80" s="29">
        <v>27900000</v>
      </c>
      <c r="J80" s="56"/>
    </row>
    <row r="81" spans="2:10" ht="30" x14ac:dyDescent="0.2">
      <c r="B81" s="57"/>
      <c r="C81" s="99"/>
      <c r="D81" s="117" t="s">
        <v>19</v>
      </c>
      <c r="E81" s="22" t="s">
        <v>199</v>
      </c>
      <c r="F81" s="117" t="s">
        <v>117</v>
      </c>
      <c r="G81" s="65" t="s">
        <v>575</v>
      </c>
      <c r="H81" s="59" t="s">
        <v>574</v>
      </c>
      <c r="I81" s="32"/>
      <c r="J81" s="56"/>
    </row>
    <row r="82" spans="2:10" ht="30" x14ac:dyDescent="0.2">
      <c r="B82" s="57"/>
      <c r="C82" s="99"/>
      <c r="D82" s="117" t="s">
        <v>257</v>
      </c>
      <c r="E82" s="22" t="s">
        <v>199</v>
      </c>
      <c r="F82" s="117" t="s">
        <v>118</v>
      </c>
      <c r="G82" s="60" t="s">
        <v>564</v>
      </c>
      <c r="H82" s="59" t="s">
        <v>563</v>
      </c>
      <c r="I82" s="32">
        <v>17509</v>
      </c>
      <c r="J82" s="56" t="s">
        <v>1040</v>
      </c>
    </row>
    <row r="83" spans="2:10" ht="30" x14ac:dyDescent="0.2">
      <c r="B83" s="57"/>
      <c r="C83" s="99"/>
      <c r="D83" s="117" t="s">
        <v>258</v>
      </c>
      <c r="E83" s="22" t="s">
        <v>199</v>
      </c>
      <c r="F83" s="117" t="s">
        <v>119</v>
      </c>
      <c r="G83" s="64" t="s">
        <v>561</v>
      </c>
      <c r="H83" s="59" t="s">
        <v>560</v>
      </c>
      <c r="I83" s="32">
        <v>309935</v>
      </c>
      <c r="J83" s="56" t="s">
        <v>1039</v>
      </c>
    </row>
    <row r="84" spans="2:10" ht="30" x14ac:dyDescent="0.2">
      <c r="B84" s="57"/>
      <c r="C84" s="99"/>
      <c r="D84" s="117" t="s">
        <v>259</v>
      </c>
      <c r="E84" s="22" t="s">
        <v>199</v>
      </c>
      <c r="F84" s="117" t="s">
        <v>120</v>
      </c>
      <c r="G84" s="64" t="s">
        <v>557</v>
      </c>
      <c r="H84" s="59" t="s">
        <v>556</v>
      </c>
      <c r="I84" s="33">
        <v>75000</v>
      </c>
      <c r="J84" s="56" t="s">
        <v>1038</v>
      </c>
    </row>
    <row r="85" spans="2:10" ht="45" x14ac:dyDescent="0.2">
      <c r="B85" s="57"/>
      <c r="C85" s="99"/>
      <c r="D85" s="117" t="s">
        <v>38</v>
      </c>
      <c r="E85" s="22" t="s">
        <v>199</v>
      </c>
      <c r="F85" s="117" t="s">
        <v>121</v>
      </c>
      <c r="G85" s="64" t="s">
        <v>555</v>
      </c>
      <c r="H85" s="59" t="s">
        <v>554</v>
      </c>
      <c r="I85" s="33">
        <v>0</v>
      </c>
      <c r="J85" s="56"/>
    </row>
    <row r="86" spans="2:10" ht="30" x14ac:dyDescent="0.2">
      <c r="B86" s="57"/>
      <c r="C86" s="99"/>
      <c r="D86" s="117" t="s">
        <v>260</v>
      </c>
      <c r="E86" s="22" t="s">
        <v>199</v>
      </c>
      <c r="F86" s="117" t="s">
        <v>122</v>
      </c>
      <c r="G86" s="62" t="s">
        <v>552</v>
      </c>
      <c r="H86" s="59" t="s">
        <v>551</v>
      </c>
      <c r="I86" s="33">
        <f>348000+36000</f>
        <v>384000</v>
      </c>
      <c r="J86" s="56" t="s">
        <v>1009</v>
      </c>
    </row>
    <row r="87" spans="2:10" x14ac:dyDescent="0.2">
      <c r="B87" s="57"/>
      <c r="C87" s="99"/>
      <c r="D87" s="117" t="s">
        <v>35</v>
      </c>
      <c r="E87" s="22" t="s">
        <v>199</v>
      </c>
      <c r="F87" s="117" t="s">
        <v>123</v>
      </c>
      <c r="G87" s="62" t="s">
        <v>549</v>
      </c>
      <c r="H87" s="59" t="s">
        <v>535</v>
      </c>
      <c r="I87" s="33">
        <v>0</v>
      </c>
      <c r="J87" s="56"/>
    </row>
    <row r="88" spans="2:10" ht="45" x14ac:dyDescent="0.2">
      <c r="B88" s="57"/>
      <c r="C88" s="99"/>
      <c r="D88" s="117" t="s">
        <v>28</v>
      </c>
      <c r="E88" s="22" t="s">
        <v>199</v>
      </c>
      <c r="F88" s="117" t="s">
        <v>124</v>
      </c>
      <c r="G88" s="62" t="s">
        <v>547</v>
      </c>
      <c r="H88" s="59" t="s">
        <v>535</v>
      </c>
      <c r="I88" s="33">
        <v>17345</v>
      </c>
      <c r="J88" s="56" t="s">
        <v>1037</v>
      </c>
    </row>
    <row r="89" spans="2:10" ht="45" x14ac:dyDescent="0.2">
      <c r="B89" s="57"/>
      <c r="C89" s="99"/>
      <c r="D89" s="117" t="s">
        <v>23</v>
      </c>
      <c r="E89" s="22" t="s">
        <v>199</v>
      </c>
      <c r="F89" s="117" t="s">
        <v>125</v>
      </c>
      <c r="G89" s="63" t="s">
        <v>545</v>
      </c>
      <c r="H89" s="59" t="s">
        <v>535</v>
      </c>
      <c r="I89" s="33">
        <v>16000</v>
      </c>
      <c r="J89" s="56" t="s">
        <v>818</v>
      </c>
    </row>
    <row r="90" spans="2:10" ht="30" x14ac:dyDescent="0.2">
      <c r="B90" s="57"/>
      <c r="C90" s="99"/>
      <c r="D90" s="117" t="s">
        <v>33</v>
      </c>
      <c r="E90" s="22" t="s">
        <v>199</v>
      </c>
      <c r="F90" s="117" t="s">
        <v>126</v>
      </c>
      <c r="G90" s="63" t="s">
        <v>543</v>
      </c>
      <c r="H90" s="59" t="s">
        <v>542</v>
      </c>
      <c r="I90" s="33">
        <v>0</v>
      </c>
      <c r="J90" s="56"/>
    </row>
    <row r="91" spans="2:10" ht="30" x14ac:dyDescent="0.2">
      <c r="B91" s="57"/>
      <c r="C91" s="99"/>
      <c r="D91" s="117" t="s">
        <v>261</v>
      </c>
      <c r="E91" s="22" t="s">
        <v>199</v>
      </c>
      <c r="F91" s="117" t="s">
        <v>127</v>
      </c>
      <c r="G91" s="63" t="s">
        <v>540</v>
      </c>
      <c r="H91" s="59" t="s">
        <v>539</v>
      </c>
      <c r="I91" s="32">
        <v>0</v>
      </c>
      <c r="J91" s="56"/>
    </row>
    <row r="92" spans="2:10" ht="45" x14ac:dyDescent="0.2">
      <c r="B92" s="57"/>
      <c r="C92" s="99"/>
      <c r="D92" s="117" t="s">
        <v>262</v>
      </c>
      <c r="E92" s="22" t="s">
        <v>199</v>
      </c>
      <c r="F92" s="117" t="s">
        <v>128</v>
      </c>
      <c r="G92" s="62" t="s">
        <v>536</v>
      </c>
      <c r="H92" s="61" t="s">
        <v>535</v>
      </c>
      <c r="I92" s="32">
        <v>639484</v>
      </c>
      <c r="J92" s="56" t="s">
        <v>1036</v>
      </c>
    </row>
    <row r="93" spans="2:10" ht="30" x14ac:dyDescent="0.2">
      <c r="B93" s="57"/>
      <c r="C93" s="99"/>
      <c r="D93" s="5" t="s">
        <v>263</v>
      </c>
      <c r="E93" s="7" t="s">
        <v>200</v>
      </c>
      <c r="F93" s="18" t="s">
        <v>129</v>
      </c>
      <c r="G93" s="116" t="s">
        <v>1035</v>
      </c>
      <c r="H93" s="59" t="s">
        <v>1019</v>
      </c>
      <c r="I93" s="32">
        <v>390000</v>
      </c>
      <c r="J93" s="56" t="s">
        <v>1034</v>
      </c>
    </row>
    <row r="94" spans="2:10" ht="30" x14ac:dyDescent="0.2">
      <c r="B94" s="57"/>
      <c r="C94" s="99"/>
      <c r="D94" s="5" t="s">
        <v>264</v>
      </c>
      <c r="E94" s="7" t="s">
        <v>200</v>
      </c>
      <c r="F94" s="4" t="s">
        <v>130</v>
      </c>
      <c r="G94" s="116" t="s">
        <v>1033</v>
      </c>
      <c r="H94" s="59" t="s">
        <v>1032</v>
      </c>
      <c r="I94" s="32">
        <v>414000</v>
      </c>
      <c r="J94" s="56" t="s">
        <v>1026</v>
      </c>
    </row>
    <row r="95" spans="2:10" ht="30" x14ac:dyDescent="0.2">
      <c r="B95" s="57"/>
      <c r="C95" s="99"/>
      <c r="D95" s="5" t="s">
        <v>265</v>
      </c>
      <c r="E95" s="7" t="s">
        <v>200</v>
      </c>
      <c r="F95" s="18" t="s">
        <v>131</v>
      </c>
      <c r="G95" s="116" t="s">
        <v>1031</v>
      </c>
      <c r="H95" s="68">
        <v>42313</v>
      </c>
      <c r="I95" s="32">
        <v>390000</v>
      </c>
      <c r="J95" s="56" t="s">
        <v>1018</v>
      </c>
    </row>
    <row r="96" spans="2:10" ht="30" x14ac:dyDescent="0.2">
      <c r="B96" s="57"/>
      <c r="C96" s="99"/>
      <c r="D96" s="5" t="s">
        <v>266</v>
      </c>
      <c r="E96" s="7" t="s">
        <v>200</v>
      </c>
      <c r="F96" s="4" t="s">
        <v>132</v>
      </c>
      <c r="G96" s="116" t="s">
        <v>1030</v>
      </c>
      <c r="H96" s="68">
        <v>42313</v>
      </c>
      <c r="I96" s="32">
        <f>364000+5000</f>
        <v>369000</v>
      </c>
      <c r="J96" s="56" t="s">
        <v>1029</v>
      </c>
    </row>
    <row r="97" spans="2:10" ht="30" x14ac:dyDescent="0.2">
      <c r="B97" s="57"/>
      <c r="C97" s="99"/>
      <c r="D97" s="5" t="s">
        <v>267</v>
      </c>
      <c r="E97" s="7" t="s">
        <v>200</v>
      </c>
      <c r="F97" s="4" t="s">
        <v>133</v>
      </c>
      <c r="G97" s="116" t="s">
        <v>1028</v>
      </c>
      <c r="H97" s="68">
        <v>42313</v>
      </c>
      <c r="I97" s="32">
        <v>414000</v>
      </c>
      <c r="J97" s="56" t="s">
        <v>1026</v>
      </c>
    </row>
    <row r="98" spans="2:10" ht="30" x14ac:dyDescent="0.2">
      <c r="B98" s="57"/>
      <c r="C98" s="99"/>
      <c r="D98" s="5" t="s">
        <v>268</v>
      </c>
      <c r="E98" s="7" t="s">
        <v>200</v>
      </c>
      <c r="F98" s="4" t="s">
        <v>134</v>
      </c>
      <c r="G98" s="116" t="s">
        <v>1027</v>
      </c>
      <c r="H98" s="68">
        <v>42313</v>
      </c>
      <c r="I98" s="32">
        <v>414000</v>
      </c>
      <c r="J98" s="56" t="s">
        <v>1026</v>
      </c>
    </row>
    <row r="99" spans="2:10" ht="30" x14ac:dyDescent="0.2">
      <c r="B99" s="57"/>
      <c r="C99" s="99"/>
      <c r="D99" s="5" t="s">
        <v>38</v>
      </c>
      <c r="E99" s="7" t="s">
        <v>200</v>
      </c>
      <c r="F99" s="4" t="s">
        <v>135</v>
      </c>
      <c r="G99" s="114" t="s">
        <v>1025</v>
      </c>
      <c r="H99" s="115" t="s">
        <v>1019</v>
      </c>
      <c r="I99" s="32">
        <v>340000</v>
      </c>
      <c r="J99" s="56" t="s">
        <v>1011</v>
      </c>
    </row>
    <row r="100" spans="2:10" ht="30" x14ac:dyDescent="0.2">
      <c r="B100" s="57"/>
      <c r="C100" s="99"/>
      <c r="D100" s="5" t="s">
        <v>269</v>
      </c>
      <c r="E100" s="7" t="s">
        <v>200</v>
      </c>
      <c r="F100" s="4" t="s">
        <v>136</v>
      </c>
      <c r="G100" s="114" t="s">
        <v>1024</v>
      </c>
      <c r="H100" s="113" t="s">
        <v>1019</v>
      </c>
      <c r="I100" s="32">
        <v>389000</v>
      </c>
      <c r="J100" s="56" t="s">
        <v>1023</v>
      </c>
    </row>
    <row r="101" spans="2:10" ht="40" x14ac:dyDescent="0.2">
      <c r="B101" s="57"/>
      <c r="C101" s="99"/>
      <c r="D101" s="5" t="s">
        <v>25</v>
      </c>
      <c r="E101" s="7" t="s">
        <v>200</v>
      </c>
      <c r="F101" s="4" t="s">
        <v>137</v>
      </c>
      <c r="G101" s="110" t="s">
        <v>1022</v>
      </c>
      <c r="H101" s="112" t="s">
        <v>1019</v>
      </c>
      <c r="I101" s="32">
        <v>365000</v>
      </c>
      <c r="J101" s="56" t="s">
        <v>1021</v>
      </c>
    </row>
    <row r="102" spans="2:10" ht="30" x14ac:dyDescent="0.2">
      <c r="B102" s="57"/>
      <c r="C102" s="99"/>
      <c r="D102" s="5" t="s">
        <v>270</v>
      </c>
      <c r="E102" s="7" t="s">
        <v>200</v>
      </c>
      <c r="F102" s="4" t="s">
        <v>138</v>
      </c>
      <c r="G102" s="110" t="s">
        <v>1020</v>
      </c>
      <c r="H102" s="112" t="s">
        <v>1019</v>
      </c>
      <c r="I102" s="32">
        <v>390000</v>
      </c>
      <c r="J102" s="56" t="s">
        <v>1018</v>
      </c>
    </row>
    <row r="103" spans="2:10" ht="30" x14ac:dyDescent="0.2">
      <c r="B103" s="57"/>
      <c r="C103" s="99"/>
      <c r="D103" s="26" t="s">
        <v>271</v>
      </c>
      <c r="E103" s="7" t="s">
        <v>200</v>
      </c>
      <c r="F103" s="4" t="s">
        <v>139</v>
      </c>
      <c r="G103" s="65" t="s">
        <v>1017</v>
      </c>
      <c r="H103" s="98" t="s">
        <v>1016</v>
      </c>
      <c r="I103" s="32">
        <v>416500</v>
      </c>
      <c r="J103" s="56" t="s">
        <v>1015</v>
      </c>
    </row>
    <row r="104" spans="2:10" ht="30" x14ac:dyDescent="0.2">
      <c r="B104" s="57"/>
      <c r="C104" s="99"/>
      <c r="D104" s="26" t="s">
        <v>272</v>
      </c>
      <c r="E104" s="7" t="s">
        <v>200</v>
      </c>
      <c r="F104" s="4" t="s">
        <v>140</v>
      </c>
      <c r="G104" s="110" t="s">
        <v>1014</v>
      </c>
      <c r="H104" s="112" t="s">
        <v>1013</v>
      </c>
      <c r="I104" s="32">
        <v>340000</v>
      </c>
      <c r="J104" s="56" t="s">
        <v>1011</v>
      </c>
    </row>
    <row r="105" spans="2:10" ht="30" x14ac:dyDescent="0.2">
      <c r="B105" s="57"/>
      <c r="C105" s="99"/>
      <c r="D105" s="5" t="s">
        <v>273</v>
      </c>
      <c r="E105" s="7" t="s">
        <v>200</v>
      </c>
      <c r="F105" s="4" t="s">
        <v>141</v>
      </c>
      <c r="G105" s="75" t="s">
        <v>1012</v>
      </c>
      <c r="H105" s="111">
        <v>42313</v>
      </c>
      <c r="I105" s="32">
        <v>340000</v>
      </c>
      <c r="J105" s="56" t="s">
        <v>1011</v>
      </c>
    </row>
    <row r="106" spans="2:10" ht="30" x14ac:dyDescent="0.2">
      <c r="B106" s="57"/>
      <c r="C106" s="99"/>
      <c r="D106" s="5" t="s">
        <v>274</v>
      </c>
      <c r="E106" s="7" t="s">
        <v>200</v>
      </c>
      <c r="F106" s="4" t="s">
        <v>142</v>
      </c>
      <c r="G106" s="110" t="s">
        <v>1010</v>
      </c>
      <c r="H106" s="109">
        <v>42313</v>
      </c>
      <c r="I106" s="32">
        <v>384000</v>
      </c>
      <c r="J106" s="56" t="s">
        <v>1009</v>
      </c>
    </row>
    <row r="107" spans="2:10" ht="52" x14ac:dyDescent="0.2">
      <c r="B107" s="57"/>
      <c r="C107" s="99"/>
      <c r="D107" s="107" t="s">
        <v>275</v>
      </c>
      <c r="E107" s="6" t="s">
        <v>201</v>
      </c>
      <c r="F107" s="101" t="s">
        <v>143</v>
      </c>
      <c r="G107" s="60"/>
      <c r="H107" s="59"/>
      <c r="I107" s="34">
        <v>0</v>
      </c>
      <c r="J107" s="56"/>
    </row>
    <row r="108" spans="2:10" ht="30" x14ac:dyDescent="0.2">
      <c r="B108" s="57"/>
      <c r="C108" s="99"/>
      <c r="D108" s="106" t="s">
        <v>276</v>
      </c>
      <c r="E108" s="8" t="s">
        <v>202</v>
      </c>
      <c r="F108" s="101" t="s">
        <v>144</v>
      </c>
      <c r="G108" s="60"/>
      <c r="H108" s="59"/>
      <c r="I108" s="35">
        <v>318000</v>
      </c>
      <c r="J108" s="56" t="s">
        <v>1008</v>
      </c>
    </row>
    <row r="109" spans="2:10" ht="52" x14ac:dyDescent="0.2">
      <c r="B109" s="57"/>
      <c r="C109" s="99"/>
      <c r="D109" s="101" t="s">
        <v>277</v>
      </c>
      <c r="E109" s="6" t="s">
        <v>201</v>
      </c>
      <c r="F109" s="101" t="s">
        <v>145</v>
      </c>
      <c r="G109" s="60"/>
      <c r="H109" s="59"/>
      <c r="I109" s="36">
        <v>0</v>
      </c>
      <c r="J109" s="56"/>
    </row>
    <row r="110" spans="2:10" ht="52" x14ac:dyDescent="0.2">
      <c r="B110" s="57"/>
      <c r="C110" s="99"/>
      <c r="D110" s="106" t="s">
        <v>29</v>
      </c>
      <c r="E110" s="6" t="s">
        <v>201</v>
      </c>
      <c r="F110" s="101" t="s">
        <v>146</v>
      </c>
      <c r="G110" s="60"/>
      <c r="H110" s="59"/>
      <c r="I110" s="36">
        <v>0</v>
      </c>
      <c r="J110" s="56"/>
    </row>
    <row r="111" spans="2:10" ht="16" x14ac:dyDescent="0.2">
      <c r="B111" s="57"/>
      <c r="C111" s="99"/>
      <c r="D111" s="101" t="s">
        <v>221</v>
      </c>
      <c r="E111" s="6" t="s">
        <v>203</v>
      </c>
      <c r="F111" s="108" t="s">
        <v>147</v>
      </c>
      <c r="G111" s="73" t="s">
        <v>1007</v>
      </c>
      <c r="H111" s="59" t="s">
        <v>1006</v>
      </c>
      <c r="I111" s="36">
        <v>0</v>
      </c>
      <c r="J111" s="56"/>
    </row>
    <row r="112" spans="2:10" ht="30" x14ac:dyDescent="0.2">
      <c r="B112" s="57"/>
      <c r="C112" s="99"/>
      <c r="D112" s="101" t="s">
        <v>24</v>
      </c>
      <c r="E112" s="6" t="s">
        <v>204</v>
      </c>
      <c r="F112" s="101" t="s">
        <v>148</v>
      </c>
      <c r="G112" s="75" t="s">
        <v>649</v>
      </c>
      <c r="H112" s="59"/>
      <c r="I112" s="36">
        <v>620000</v>
      </c>
      <c r="J112" s="56" t="s">
        <v>1005</v>
      </c>
    </row>
    <row r="113" spans="2:10" ht="52" x14ac:dyDescent="0.2">
      <c r="B113" s="57"/>
      <c r="C113" s="99"/>
      <c r="D113" s="106" t="s">
        <v>29</v>
      </c>
      <c r="E113" s="6" t="s">
        <v>201</v>
      </c>
      <c r="F113" s="101" t="s">
        <v>149</v>
      </c>
      <c r="G113" s="60" t="s">
        <v>533</v>
      </c>
      <c r="H113" s="59" t="s">
        <v>532</v>
      </c>
      <c r="I113" s="34"/>
      <c r="J113" s="56"/>
    </row>
    <row r="114" spans="2:10" ht="30" x14ac:dyDescent="0.2">
      <c r="B114" s="57"/>
      <c r="C114" s="99"/>
      <c r="D114" s="106" t="s">
        <v>278</v>
      </c>
      <c r="E114" s="6" t="s">
        <v>205</v>
      </c>
      <c r="F114" s="101" t="s">
        <v>150</v>
      </c>
      <c r="G114" s="60" t="s">
        <v>648</v>
      </c>
      <c r="H114" s="59" t="s">
        <v>647</v>
      </c>
      <c r="I114" s="35">
        <v>462200</v>
      </c>
      <c r="J114" s="56" t="s">
        <v>1004</v>
      </c>
    </row>
    <row r="115" spans="2:10" ht="52" x14ac:dyDescent="0.2">
      <c r="B115" s="57"/>
      <c r="C115" s="99"/>
      <c r="D115" s="106" t="s">
        <v>30</v>
      </c>
      <c r="E115" s="6" t="s">
        <v>201</v>
      </c>
      <c r="F115" s="101" t="s">
        <v>151</v>
      </c>
      <c r="G115" s="60"/>
      <c r="H115" s="59"/>
      <c r="I115" s="36">
        <v>0</v>
      </c>
      <c r="J115" s="56"/>
    </row>
    <row r="116" spans="2:10" ht="45" x14ac:dyDescent="0.2">
      <c r="B116" s="57"/>
      <c r="C116" s="99"/>
      <c r="D116" s="101" t="s">
        <v>24</v>
      </c>
      <c r="E116" s="6" t="s">
        <v>203</v>
      </c>
      <c r="F116" s="101" t="s">
        <v>152</v>
      </c>
      <c r="G116" s="59" t="s">
        <v>645</v>
      </c>
      <c r="H116" s="74" t="s">
        <v>644</v>
      </c>
      <c r="I116" s="37">
        <v>215333</v>
      </c>
      <c r="J116" s="56" t="s">
        <v>1003</v>
      </c>
    </row>
    <row r="117" spans="2:10" x14ac:dyDescent="0.2">
      <c r="B117" s="57"/>
      <c r="C117" s="99"/>
      <c r="D117" s="102" t="s">
        <v>276</v>
      </c>
      <c r="E117" s="6" t="s">
        <v>205</v>
      </c>
      <c r="F117" s="101" t="s">
        <v>153</v>
      </c>
      <c r="G117" s="60" t="s">
        <v>642</v>
      </c>
      <c r="H117" s="59" t="s">
        <v>641</v>
      </c>
      <c r="I117" s="35">
        <v>0</v>
      </c>
      <c r="J117" s="56"/>
    </row>
    <row r="118" spans="2:10" x14ac:dyDescent="0.2">
      <c r="B118" s="57"/>
      <c r="C118" s="99"/>
      <c r="D118" s="101" t="s">
        <v>24</v>
      </c>
      <c r="E118" s="6"/>
      <c r="F118" s="101" t="s">
        <v>154</v>
      </c>
      <c r="G118" s="73" t="s">
        <v>639</v>
      </c>
      <c r="H118" s="59" t="s">
        <v>638</v>
      </c>
      <c r="I118" s="35">
        <v>0</v>
      </c>
      <c r="J118" s="56"/>
    </row>
    <row r="119" spans="2:10" ht="26" x14ac:dyDescent="0.2">
      <c r="B119" s="57"/>
      <c r="C119" s="99"/>
      <c r="D119" s="106" t="s">
        <v>26</v>
      </c>
      <c r="E119" s="6" t="s">
        <v>205</v>
      </c>
      <c r="F119" s="101" t="s">
        <v>155</v>
      </c>
      <c r="G119" s="60" t="s">
        <v>636</v>
      </c>
      <c r="H119" s="59" t="s">
        <v>635</v>
      </c>
      <c r="I119" s="35">
        <v>0</v>
      </c>
      <c r="J119" s="56"/>
    </row>
    <row r="120" spans="2:10" ht="30" x14ac:dyDescent="0.2">
      <c r="B120" s="57"/>
      <c r="C120" s="99"/>
      <c r="D120" s="102" t="s">
        <v>279</v>
      </c>
      <c r="E120" s="6" t="s">
        <v>206</v>
      </c>
      <c r="F120" s="101" t="s">
        <v>156</v>
      </c>
      <c r="G120" s="70" t="s">
        <v>633</v>
      </c>
      <c r="H120" s="72" t="s">
        <v>632</v>
      </c>
      <c r="I120" s="35">
        <f>23500+403200</f>
        <v>426700</v>
      </c>
      <c r="J120" s="56" t="s">
        <v>1002</v>
      </c>
    </row>
    <row r="121" spans="2:10" ht="28" x14ac:dyDescent="0.2">
      <c r="B121" s="57"/>
      <c r="C121" s="99"/>
      <c r="D121" s="107" t="s">
        <v>280</v>
      </c>
      <c r="E121" s="6" t="s">
        <v>207</v>
      </c>
      <c r="F121" s="101" t="s">
        <v>157</v>
      </c>
      <c r="G121" s="62" t="s">
        <v>630</v>
      </c>
      <c r="H121" s="61" t="s">
        <v>629</v>
      </c>
      <c r="I121" s="36"/>
      <c r="J121" s="56"/>
    </row>
    <row r="122" spans="2:10" ht="52" x14ac:dyDescent="0.2">
      <c r="B122" s="57"/>
      <c r="C122" s="99"/>
      <c r="D122" s="101" t="s">
        <v>281</v>
      </c>
      <c r="E122" s="6" t="s">
        <v>203</v>
      </c>
      <c r="F122" s="105" t="s">
        <v>158</v>
      </c>
      <c r="G122" s="60" t="s">
        <v>1001</v>
      </c>
      <c r="H122" s="59" t="s">
        <v>1000</v>
      </c>
      <c r="I122" s="35">
        <v>72000</v>
      </c>
      <c r="J122" s="56" t="s">
        <v>999</v>
      </c>
    </row>
    <row r="123" spans="2:10" ht="30" x14ac:dyDescent="0.2">
      <c r="B123" s="57"/>
      <c r="C123" s="99"/>
      <c r="D123" s="101" t="s">
        <v>282</v>
      </c>
      <c r="E123" s="6" t="s">
        <v>206</v>
      </c>
      <c r="F123" s="105" t="s">
        <v>159</v>
      </c>
      <c r="G123" s="60" t="s">
        <v>624</v>
      </c>
      <c r="H123" s="59" t="s">
        <v>623</v>
      </c>
      <c r="I123" s="35">
        <f>391200+23500</f>
        <v>414700</v>
      </c>
      <c r="J123" s="56" t="s">
        <v>998</v>
      </c>
    </row>
    <row r="124" spans="2:10" x14ac:dyDescent="0.2">
      <c r="B124" s="57"/>
      <c r="C124" s="99"/>
      <c r="D124" s="101" t="s">
        <v>31</v>
      </c>
      <c r="E124" s="6" t="s">
        <v>208</v>
      </c>
      <c r="F124" s="101" t="s">
        <v>160</v>
      </c>
      <c r="G124" s="70" t="s">
        <v>997</v>
      </c>
      <c r="H124" s="69" t="s">
        <v>996</v>
      </c>
      <c r="I124" s="37">
        <v>0</v>
      </c>
      <c r="J124" s="56"/>
    </row>
    <row r="125" spans="2:10" ht="30" x14ac:dyDescent="0.2">
      <c r="B125" s="57"/>
      <c r="C125" s="99"/>
      <c r="D125" s="101" t="s">
        <v>283</v>
      </c>
      <c r="E125" s="6" t="s">
        <v>203</v>
      </c>
      <c r="F125" s="105" t="s">
        <v>161</v>
      </c>
      <c r="G125" s="71" t="s">
        <v>621</v>
      </c>
      <c r="H125" s="59" t="s">
        <v>620</v>
      </c>
      <c r="I125" s="36">
        <f>269200+211600</f>
        <v>480800</v>
      </c>
      <c r="J125" s="56" t="s">
        <v>995</v>
      </c>
    </row>
    <row r="126" spans="2:10" x14ac:dyDescent="0.2">
      <c r="B126" s="57"/>
      <c r="C126" s="99"/>
      <c r="D126" s="101" t="s">
        <v>31</v>
      </c>
      <c r="E126" s="6" t="s">
        <v>206</v>
      </c>
      <c r="F126" s="101" t="s">
        <v>162</v>
      </c>
      <c r="G126" s="70" t="s">
        <v>618</v>
      </c>
      <c r="H126" s="69" t="s">
        <v>617</v>
      </c>
      <c r="I126" s="35">
        <v>0</v>
      </c>
      <c r="J126" s="56"/>
    </row>
    <row r="127" spans="2:10" ht="28" x14ac:dyDescent="0.2">
      <c r="B127" s="57"/>
      <c r="C127" s="99"/>
      <c r="D127" s="101" t="s">
        <v>284</v>
      </c>
      <c r="E127" s="16" t="s">
        <v>207</v>
      </c>
      <c r="F127" s="101" t="s">
        <v>163</v>
      </c>
      <c r="G127" s="67" t="s">
        <v>615</v>
      </c>
      <c r="H127" s="59" t="s">
        <v>614</v>
      </c>
      <c r="I127" s="35">
        <v>0</v>
      </c>
      <c r="J127" s="56"/>
    </row>
    <row r="128" spans="2:10" ht="39" x14ac:dyDescent="0.2">
      <c r="B128" s="57"/>
      <c r="C128" s="99"/>
      <c r="D128" s="101" t="s">
        <v>285</v>
      </c>
      <c r="E128" s="16" t="s">
        <v>209</v>
      </c>
      <c r="F128" s="101" t="s">
        <v>164</v>
      </c>
      <c r="G128" s="67" t="s">
        <v>608</v>
      </c>
      <c r="H128" s="59" t="s">
        <v>607</v>
      </c>
      <c r="I128" s="34">
        <v>400000</v>
      </c>
      <c r="J128" s="56" t="s">
        <v>994</v>
      </c>
    </row>
    <row r="129" spans="2:10" ht="45" x14ac:dyDescent="0.2">
      <c r="B129" s="57"/>
      <c r="C129" s="99"/>
      <c r="D129" s="106" t="s">
        <v>17</v>
      </c>
      <c r="E129" s="16" t="s">
        <v>203</v>
      </c>
      <c r="F129" s="105" t="s">
        <v>165</v>
      </c>
      <c r="G129" s="67" t="s">
        <v>611</v>
      </c>
      <c r="H129" s="59" t="s">
        <v>610</v>
      </c>
      <c r="I129" s="34">
        <v>133411</v>
      </c>
      <c r="J129" s="56" t="s">
        <v>993</v>
      </c>
    </row>
    <row r="130" spans="2:10" ht="30" x14ac:dyDescent="0.2">
      <c r="B130" s="57"/>
      <c r="C130" s="99"/>
      <c r="D130" s="102" t="s">
        <v>218</v>
      </c>
      <c r="E130" s="16" t="s">
        <v>205</v>
      </c>
      <c r="F130" s="101" t="s">
        <v>166</v>
      </c>
      <c r="G130" s="67" t="s">
        <v>606</v>
      </c>
      <c r="H130" s="59" t="s">
        <v>605</v>
      </c>
      <c r="I130" s="36">
        <v>1399000</v>
      </c>
      <c r="J130" s="56" t="s">
        <v>992</v>
      </c>
    </row>
    <row r="131" spans="2:10" ht="30" x14ac:dyDescent="0.2">
      <c r="B131" s="57"/>
      <c r="C131" s="99"/>
      <c r="D131" s="101" t="s">
        <v>286</v>
      </c>
      <c r="E131" s="16" t="s">
        <v>210</v>
      </c>
      <c r="F131" s="105" t="s">
        <v>167</v>
      </c>
      <c r="G131" s="67" t="s">
        <v>603</v>
      </c>
      <c r="H131" s="59" t="s">
        <v>602</v>
      </c>
      <c r="I131" s="35">
        <v>435200</v>
      </c>
      <c r="J131" s="56" t="s">
        <v>991</v>
      </c>
    </row>
    <row r="132" spans="2:10" ht="45" x14ac:dyDescent="0.2">
      <c r="B132" s="57"/>
      <c r="C132" s="99"/>
      <c r="D132" s="102" t="s">
        <v>38</v>
      </c>
      <c r="E132" s="16" t="s">
        <v>205</v>
      </c>
      <c r="F132" s="101" t="s">
        <v>168</v>
      </c>
      <c r="G132" s="62" t="s">
        <v>597</v>
      </c>
      <c r="H132" s="59" t="s">
        <v>596</v>
      </c>
      <c r="I132" s="37">
        <v>679071</v>
      </c>
      <c r="J132" s="56" t="s">
        <v>990</v>
      </c>
    </row>
    <row r="133" spans="2:10" ht="30" x14ac:dyDescent="0.2">
      <c r="B133" s="57"/>
      <c r="C133" s="99"/>
      <c r="D133" s="107" t="s">
        <v>287</v>
      </c>
      <c r="E133" s="16"/>
      <c r="F133" s="101" t="s">
        <v>169</v>
      </c>
      <c r="G133" s="60" t="s">
        <v>600</v>
      </c>
      <c r="H133" s="59" t="s">
        <v>599</v>
      </c>
      <c r="I133" s="37">
        <v>142400</v>
      </c>
      <c r="J133" s="56" t="s">
        <v>989</v>
      </c>
    </row>
    <row r="134" spans="2:10" x14ac:dyDescent="0.2">
      <c r="B134" s="57"/>
      <c r="C134" s="99"/>
      <c r="D134" s="102" t="s">
        <v>280</v>
      </c>
      <c r="E134" s="16" t="s">
        <v>203</v>
      </c>
      <c r="F134" s="105" t="s">
        <v>170</v>
      </c>
      <c r="G134" s="67" t="s">
        <v>595</v>
      </c>
      <c r="H134" s="66" t="s">
        <v>594</v>
      </c>
      <c r="I134" s="35"/>
      <c r="J134" s="56"/>
    </row>
    <row r="135" spans="2:10" ht="30" x14ac:dyDescent="0.2">
      <c r="B135" s="57"/>
      <c r="C135" s="99"/>
      <c r="D135" s="102" t="s">
        <v>216</v>
      </c>
      <c r="E135" s="16" t="s">
        <v>203</v>
      </c>
      <c r="F135" s="105" t="s">
        <v>171</v>
      </c>
      <c r="G135" s="67" t="s">
        <v>592</v>
      </c>
      <c r="H135" s="66" t="s">
        <v>591</v>
      </c>
      <c r="I135" s="35">
        <v>136800</v>
      </c>
      <c r="J135" s="56" t="s">
        <v>988</v>
      </c>
    </row>
    <row r="136" spans="2:10" ht="26" x14ac:dyDescent="0.2">
      <c r="B136" s="57"/>
      <c r="C136" s="99"/>
      <c r="D136" s="101" t="s">
        <v>24</v>
      </c>
      <c r="E136" s="16" t="s">
        <v>209</v>
      </c>
      <c r="F136" s="101" t="s">
        <v>172</v>
      </c>
      <c r="G136" s="60" t="s">
        <v>589</v>
      </c>
      <c r="H136" s="59" t="s">
        <v>588</v>
      </c>
      <c r="I136" s="36">
        <v>1000000</v>
      </c>
      <c r="J136" s="56" t="s">
        <v>587</v>
      </c>
    </row>
    <row r="137" spans="2:10" ht="26" x14ac:dyDescent="0.2">
      <c r="B137" s="57"/>
      <c r="C137" s="99"/>
      <c r="D137" s="102" t="s">
        <v>288</v>
      </c>
      <c r="E137" s="16" t="s">
        <v>209</v>
      </c>
      <c r="F137" s="101" t="s">
        <v>173</v>
      </c>
      <c r="G137" s="62" t="s">
        <v>586</v>
      </c>
      <c r="H137" s="59" t="s">
        <v>585</v>
      </c>
      <c r="I137" s="36">
        <v>1000000</v>
      </c>
      <c r="J137" s="56" t="s">
        <v>587</v>
      </c>
    </row>
    <row r="138" spans="2:10" ht="39" x14ac:dyDescent="0.2">
      <c r="B138" s="57"/>
      <c r="C138" s="99"/>
      <c r="D138" s="102" t="s">
        <v>289</v>
      </c>
      <c r="E138" s="16" t="s">
        <v>210</v>
      </c>
      <c r="F138" s="101" t="s">
        <v>174</v>
      </c>
      <c r="G138" s="62" t="s">
        <v>583</v>
      </c>
      <c r="H138" s="68">
        <v>41613</v>
      </c>
      <c r="I138" s="35">
        <v>0</v>
      </c>
      <c r="J138" s="56"/>
    </row>
    <row r="139" spans="2:10" ht="45" x14ac:dyDescent="0.2">
      <c r="B139" s="57"/>
      <c r="C139" s="99"/>
      <c r="D139" s="106" t="s">
        <v>290</v>
      </c>
      <c r="E139" s="16" t="s">
        <v>203</v>
      </c>
      <c r="F139" s="105" t="s">
        <v>175</v>
      </c>
      <c r="G139" s="67" t="s">
        <v>580</v>
      </c>
      <c r="H139" s="66" t="s">
        <v>579</v>
      </c>
      <c r="I139" s="36">
        <f>136067+295200</f>
        <v>431267</v>
      </c>
      <c r="J139" s="56" t="s">
        <v>987</v>
      </c>
    </row>
    <row r="140" spans="2:10" ht="26" x14ac:dyDescent="0.2">
      <c r="B140" s="57"/>
      <c r="C140" s="99"/>
      <c r="D140" s="102" t="s">
        <v>291</v>
      </c>
      <c r="E140" s="16" t="s">
        <v>211</v>
      </c>
      <c r="F140" s="101" t="s">
        <v>176</v>
      </c>
      <c r="G140" s="62" t="s">
        <v>986</v>
      </c>
      <c r="H140" s="61" t="s">
        <v>985</v>
      </c>
      <c r="I140" s="35">
        <v>0</v>
      </c>
      <c r="J140" s="56"/>
    </row>
    <row r="141" spans="2:10" ht="45" x14ac:dyDescent="0.2">
      <c r="B141" s="57"/>
      <c r="C141" s="99"/>
      <c r="D141" s="102" t="s">
        <v>292</v>
      </c>
      <c r="E141" s="16" t="s">
        <v>212</v>
      </c>
      <c r="F141" s="101" t="s">
        <v>177</v>
      </c>
      <c r="G141" s="73" t="s">
        <v>984</v>
      </c>
      <c r="H141" s="59" t="s">
        <v>983</v>
      </c>
      <c r="I141" s="35">
        <f>376139+461139+312539</f>
        <v>1149817</v>
      </c>
      <c r="J141" s="56" t="s">
        <v>982</v>
      </c>
    </row>
    <row r="142" spans="2:10" ht="45" x14ac:dyDescent="0.2">
      <c r="B142" s="57"/>
      <c r="C142" s="99"/>
      <c r="D142" s="102" t="s">
        <v>293</v>
      </c>
      <c r="E142" s="16" t="s">
        <v>212</v>
      </c>
      <c r="F142" s="101" t="s">
        <v>178</v>
      </c>
      <c r="G142" s="60" t="s">
        <v>975</v>
      </c>
      <c r="H142" s="59" t="s">
        <v>974</v>
      </c>
      <c r="I142" s="35">
        <f>309135+13000</f>
        <v>322135</v>
      </c>
      <c r="J142" s="56" t="s">
        <v>981</v>
      </c>
    </row>
    <row r="143" spans="2:10" ht="26" x14ac:dyDescent="0.2">
      <c r="B143" s="57"/>
      <c r="C143" s="99"/>
      <c r="D143" s="102" t="s">
        <v>293</v>
      </c>
      <c r="E143" s="16" t="s">
        <v>212</v>
      </c>
      <c r="F143" s="101" t="s">
        <v>179</v>
      </c>
      <c r="G143" s="60" t="s">
        <v>962</v>
      </c>
      <c r="H143" s="59" t="s">
        <v>961</v>
      </c>
      <c r="I143" s="35">
        <v>0</v>
      </c>
      <c r="J143" s="56"/>
    </row>
    <row r="144" spans="2:10" x14ac:dyDescent="0.2">
      <c r="B144" s="57"/>
      <c r="C144" s="99"/>
      <c r="D144" s="102" t="s">
        <v>234</v>
      </c>
      <c r="E144" s="16" t="s">
        <v>213</v>
      </c>
      <c r="F144" s="101" t="s">
        <v>180</v>
      </c>
      <c r="G144" s="104" t="s">
        <v>618</v>
      </c>
      <c r="H144" s="103" t="s">
        <v>617</v>
      </c>
      <c r="I144" s="35">
        <v>34000</v>
      </c>
      <c r="J144" s="56" t="s">
        <v>980</v>
      </c>
    </row>
    <row r="145" spans="2:10" ht="26" x14ac:dyDescent="0.2">
      <c r="B145" s="57"/>
      <c r="C145" s="99"/>
      <c r="D145" s="102" t="s">
        <v>294</v>
      </c>
      <c r="E145" s="16" t="s">
        <v>209</v>
      </c>
      <c r="F145" s="101" t="s">
        <v>181</v>
      </c>
      <c r="G145" s="67" t="s">
        <v>843</v>
      </c>
      <c r="H145" s="66" t="s">
        <v>842</v>
      </c>
      <c r="I145" s="35">
        <v>1200000</v>
      </c>
      <c r="J145" s="56" t="s">
        <v>979</v>
      </c>
    </row>
    <row r="146" spans="2:10" ht="26" x14ac:dyDescent="0.2">
      <c r="B146" s="57"/>
      <c r="C146" s="99"/>
      <c r="D146" s="102" t="s">
        <v>295</v>
      </c>
      <c r="E146" s="16" t="s">
        <v>211</v>
      </c>
      <c r="F146" s="101" t="s">
        <v>182</v>
      </c>
      <c r="G146" s="60" t="s">
        <v>978</v>
      </c>
      <c r="H146" s="59" t="s">
        <v>977</v>
      </c>
      <c r="I146" s="35">
        <v>0</v>
      </c>
      <c r="J146" s="56"/>
    </row>
    <row r="147" spans="2:10" ht="30" x14ac:dyDescent="0.2">
      <c r="B147" s="57"/>
      <c r="C147" s="99"/>
      <c r="D147" s="24" t="s">
        <v>276</v>
      </c>
      <c r="E147" s="21" t="s">
        <v>214</v>
      </c>
      <c r="F147" s="4" t="s">
        <v>183</v>
      </c>
      <c r="G147" s="60"/>
      <c r="H147" s="59"/>
      <c r="I147" s="36">
        <v>161310</v>
      </c>
      <c r="J147" s="56" t="s">
        <v>976</v>
      </c>
    </row>
    <row r="148" spans="2:10" ht="45" x14ac:dyDescent="0.2">
      <c r="B148" s="57"/>
      <c r="C148" s="99"/>
      <c r="D148" s="5" t="s">
        <v>293</v>
      </c>
      <c r="E148" s="23" t="s">
        <v>212</v>
      </c>
      <c r="F148" s="4" t="s">
        <v>184</v>
      </c>
      <c r="G148" s="60" t="s">
        <v>975</v>
      </c>
      <c r="H148" s="59" t="s">
        <v>974</v>
      </c>
      <c r="I148" s="35">
        <v>5119665</v>
      </c>
      <c r="J148" s="56" t="s">
        <v>973</v>
      </c>
    </row>
    <row r="149" spans="2:10" ht="45" x14ac:dyDescent="0.2">
      <c r="B149" s="57"/>
      <c r="C149" s="99"/>
      <c r="D149" s="5" t="s">
        <v>293</v>
      </c>
      <c r="E149" s="23" t="s">
        <v>212</v>
      </c>
      <c r="F149" s="4" t="s">
        <v>185</v>
      </c>
      <c r="G149" s="60" t="s">
        <v>972</v>
      </c>
      <c r="H149" s="59" t="s">
        <v>971</v>
      </c>
      <c r="I149" s="35">
        <v>353200</v>
      </c>
      <c r="J149" s="56" t="s">
        <v>833</v>
      </c>
    </row>
    <row r="150" spans="2:10" ht="45" x14ac:dyDescent="0.2">
      <c r="B150" s="57"/>
      <c r="C150" s="99"/>
      <c r="D150" s="5" t="s">
        <v>296</v>
      </c>
      <c r="E150" s="23" t="s">
        <v>205</v>
      </c>
      <c r="F150" s="4" t="s">
        <v>186</v>
      </c>
      <c r="G150" s="62" t="s">
        <v>970</v>
      </c>
      <c r="H150" s="68">
        <v>42010</v>
      </c>
      <c r="I150" s="35">
        <f>1893600+100000</f>
        <v>1993600</v>
      </c>
      <c r="J150" s="56" t="s">
        <v>969</v>
      </c>
    </row>
    <row r="151" spans="2:10" ht="30" x14ac:dyDescent="0.2">
      <c r="B151" s="57"/>
      <c r="C151" s="99"/>
      <c r="D151" s="5" t="s">
        <v>297</v>
      </c>
      <c r="E151" s="23" t="s">
        <v>210</v>
      </c>
      <c r="F151" s="4" t="s">
        <v>187</v>
      </c>
      <c r="G151" s="65" t="s">
        <v>968</v>
      </c>
      <c r="H151" s="59" t="s">
        <v>967</v>
      </c>
      <c r="I151" s="35">
        <v>1110000</v>
      </c>
      <c r="J151" s="56" t="s">
        <v>966</v>
      </c>
    </row>
    <row r="152" spans="2:10" ht="45" x14ac:dyDescent="0.2">
      <c r="B152" s="57"/>
      <c r="C152" s="99"/>
      <c r="D152" s="5" t="s">
        <v>293</v>
      </c>
      <c r="E152" s="23" t="s">
        <v>212</v>
      </c>
      <c r="F152" s="4" t="s">
        <v>188</v>
      </c>
      <c r="G152" s="73" t="s">
        <v>965</v>
      </c>
      <c r="H152" s="59" t="s">
        <v>964</v>
      </c>
      <c r="I152" s="35">
        <v>18760365</v>
      </c>
      <c r="J152" s="56" t="s">
        <v>963</v>
      </c>
    </row>
    <row r="153" spans="2:10" ht="45" x14ac:dyDescent="0.2">
      <c r="B153" s="57"/>
      <c r="C153" s="99"/>
      <c r="D153" s="5" t="s">
        <v>293</v>
      </c>
      <c r="E153" s="23" t="s">
        <v>212</v>
      </c>
      <c r="F153" s="4" t="s">
        <v>189</v>
      </c>
      <c r="G153" s="100" t="s">
        <v>962</v>
      </c>
      <c r="H153" s="59" t="s">
        <v>961</v>
      </c>
      <c r="I153" s="35">
        <f>5997121-5140</f>
        <v>5991981</v>
      </c>
      <c r="J153" s="56" t="s">
        <v>960</v>
      </c>
    </row>
    <row r="154" spans="2:10" ht="39" x14ac:dyDescent="0.2">
      <c r="B154" s="57"/>
      <c r="C154" s="99"/>
      <c r="D154" s="5" t="s">
        <v>298</v>
      </c>
      <c r="E154" s="23" t="s">
        <v>205</v>
      </c>
      <c r="F154" s="4" t="s">
        <v>190</v>
      </c>
      <c r="G154" s="100" t="s">
        <v>959</v>
      </c>
      <c r="H154" s="59"/>
      <c r="I154" s="35">
        <v>986000</v>
      </c>
      <c r="J154" s="56" t="s">
        <v>958</v>
      </c>
    </row>
    <row r="155" spans="2:10" ht="28" x14ac:dyDescent="0.2">
      <c r="B155" s="57"/>
      <c r="C155" s="99"/>
      <c r="D155" s="5" t="s">
        <v>24</v>
      </c>
      <c r="E155" s="23" t="s">
        <v>210</v>
      </c>
      <c r="F155" s="4" t="s">
        <v>191</v>
      </c>
      <c r="G155" s="60" t="s">
        <v>957</v>
      </c>
      <c r="H155" s="59" t="s">
        <v>956</v>
      </c>
      <c r="I155" s="35">
        <v>0</v>
      </c>
      <c r="J155" s="56"/>
    </row>
    <row r="156" spans="2:10" ht="28" x14ac:dyDescent="0.2">
      <c r="B156" s="57"/>
      <c r="C156" s="99"/>
      <c r="D156" s="5" t="s">
        <v>24</v>
      </c>
      <c r="E156" s="23" t="s">
        <v>210</v>
      </c>
      <c r="F156" s="4" t="s">
        <v>192</v>
      </c>
      <c r="G156" s="65" t="s">
        <v>955</v>
      </c>
      <c r="H156" s="59" t="s">
        <v>954</v>
      </c>
      <c r="I156" s="35">
        <f>1000000+100000</f>
        <v>1100000</v>
      </c>
      <c r="J156" s="56" t="s">
        <v>953</v>
      </c>
    </row>
    <row r="157" spans="2:10" ht="45" x14ac:dyDescent="0.2">
      <c r="B157" s="57"/>
      <c r="C157" s="99"/>
      <c r="D157" s="5" t="s">
        <v>299</v>
      </c>
      <c r="E157" s="23" t="s">
        <v>215</v>
      </c>
      <c r="F157" s="4" t="s">
        <v>193</v>
      </c>
      <c r="G157" s="60" t="s">
        <v>952</v>
      </c>
      <c r="H157" s="59" t="s">
        <v>951</v>
      </c>
      <c r="I157" s="35">
        <v>1143437</v>
      </c>
      <c r="J157" s="56" t="s">
        <v>950</v>
      </c>
    </row>
    <row r="158" spans="2:10" ht="45" x14ac:dyDescent="0.2">
      <c r="B158" s="57"/>
      <c r="C158" s="99"/>
      <c r="D158" s="5" t="s">
        <v>300</v>
      </c>
      <c r="E158" s="23" t="s">
        <v>210</v>
      </c>
      <c r="F158" s="4" t="s">
        <v>194</v>
      </c>
      <c r="G158" s="65" t="s">
        <v>949</v>
      </c>
      <c r="H158" s="59" t="s">
        <v>948</v>
      </c>
      <c r="I158" s="35">
        <f>2267650+280500</f>
        <v>2548150</v>
      </c>
      <c r="J158" s="56" t="s">
        <v>947</v>
      </c>
    </row>
    <row r="159" spans="2:10" ht="45" x14ac:dyDescent="0.2">
      <c r="B159" s="57"/>
      <c r="C159" s="99"/>
      <c r="D159" s="5" t="s">
        <v>301</v>
      </c>
      <c r="E159" s="23" t="s">
        <v>210</v>
      </c>
      <c r="F159" s="4" t="s">
        <v>195</v>
      </c>
      <c r="G159" s="60" t="s">
        <v>946</v>
      </c>
      <c r="H159" s="59" t="s">
        <v>945</v>
      </c>
      <c r="I159" s="35">
        <v>479600</v>
      </c>
      <c r="J159" s="56" t="s">
        <v>944</v>
      </c>
    </row>
    <row r="160" spans="2:10" ht="42" x14ac:dyDescent="0.2">
      <c r="B160" s="57"/>
      <c r="C160" s="99"/>
      <c r="D160" s="5" t="s">
        <v>302</v>
      </c>
      <c r="E160" s="23" t="s">
        <v>205</v>
      </c>
      <c r="F160" s="4" t="s">
        <v>196</v>
      </c>
      <c r="G160" s="60" t="s">
        <v>943</v>
      </c>
      <c r="H160" s="59" t="s">
        <v>942</v>
      </c>
      <c r="I160" s="35">
        <v>1197000</v>
      </c>
      <c r="J160" s="56" t="s">
        <v>941</v>
      </c>
    </row>
    <row r="161" spans="2:10" ht="30" x14ac:dyDescent="0.2">
      <c r="B161" s="57">
        <v>2</v>
      </c>
      <c r="C161" s="57" t="s">
        <v>13</v>
      </c>
      <c r="D161" s="95" t="s">
        <v>395</v>
      </c>
      <c r="E161" s="40" t="s">
        <v>198</v>
      </c>
      <c r="F161" s="45" t="s">
        <v>303</v>
      </c>
      <c r="I161" s="46">
        <v>28913</v>
      </c>
      <c r="J161" s="56" t="s">
        <v>940</v>
      </c>
    </row>
    <row r="162" spans="2:10" x14ac:dyDescent="0.2">
      <c r="B162" s="57"/>
      <c r="C162" s="57"/>
      <c r="D162" s="95" t="s">
        <v>234</v>
      </c>
      <c r="E162" s="40" t="s">
        <v>198</v>
      </c>
      <c r="F162" s="45" t="s">
        <v>73</v>
      </c>
      <c r="I162" s="46">
        <f>250000+250000+250000+250000+150000+300000+100000+200000+600000+300000+100000+250000+50000+250000+100000+300000</f>
        <v>3700000</v>
      </c>
      <c r="J162" s="56" t="s">
        <v>939</v>
      </c>
    </row>
    <row r="163" spans="2:10" ht="60" x14ac:dyDescent="0.2">
      <c r="B163" s="57"/>
      <c r="C163" s="57"/>
      <c r="D163" s="95" t="s">
        <v>26</v>
      </c>
      <c r="E163" s="40" t="s">
        <v>198</v>
      </c>
      <c r="F163" s="45" t="s">
        <v>304</v>
      </c>
      <c r="G163" s="67" t="s">
        <v>812</v>
      </c>
      <c r="H163" s="59" t="s">
        <v>811</v>
      </c>
      <c r="I163" s="46">
        <f>699246+126550.13+981075+50000.83+500000+120516.42</f>
        <v>2477388.38</v>
      </c>
      <c r="J163" s="56" t="s">
        <v>938</v>
      </c>
    </row>
    <row r="164" spans="2:10" ht="30" x14ac:dyDescent="0.2">
      <c r="B164" s="57"/>
      <c r="C164" s="57"/>
      <c r="D164" s="95" t="s">
        <v>225</v>
      </c>
      <c r="E164" s="40" t="s">
        <v>198</v>
      </c>
      <c r="F164" s="45" t="s">
        <v>305</v>
      </c>
      <c r="I164" s="46">
        <v>163291</v>
      </c>
      <c r="J164" s="56" t="s">
        <v>937</v>
      </c>
    </row>
    <row r="165" spans="2:10" ht="45" x14ac:dyDescent="0.2">
      <c r="B165" s="57"/>
      <c r="C165" s="57"/>
      <c r="D165" s="95" t="s">
        <v>38</v>
      </c>
      <c r="E165" s="40" t="s">
        <v>198</v>
      </c>
      <c r="F165" s="45" t="s">
        <v>306</v>
      </c>
      <c r="G165" s="65" t="s">
        <v>796</v>
      </c>
      <c r="H165" s="59" t="s">
        <v>795</v>
      </c>
      <c r="I165" s="46">
        <f>288000+214660+201600+5978</f>
        <v>710238</v>
      </c>
      <c r="J165" s="56" t="s">
        <v>936</v>
      </c>
    </row>
    <row r="166" spans="2:10" ht="40" x14ac:dyDescent="0.2">
      <c r="B166" s="57"/>
      <c r="C166" s="57"/>
      <c r="D166" s="95" t="s">
        <v>276</v>
      </c>
      <c r="E166" s="40" t="s">
        <v>198</v>
      </c>
      <c r="F166" s="45" t="s">
        <v>307</v>
      </c>
      <c r="I166" s="46">
        <v>10162</v>
      </c>
      <c r="J166" s="56" t="s">
        <v>935</v>
      </c>
    </row>
    <row r="167" spans="2:10" ht="30" x14ac:dyDescent="0.2">
      <c r="B167" s="57"/>
      <c r="C167" s="57"/>
      <c r="D167" s="95" t="s">
        <v>231</v>
      </c>
      <c r="E167" s="40" t="s">
        <v>198</v>
      </c>
      <c r="F167" s="45" t="s">
        <v>308</v>
      </c>
      <c r="G167" s="52">
        <v>276</v>
      </c>
      <c r="I167" s="46">
        <v>3871</v>
      </c>
      <c r="J167" s="56" t="s">
        <v>934</v>
      </c>
    </row>
    <row r="168" spans="2:10" ht="45" x14ac:dyDescent="0.2">
      <c r="B168" s="57"/>
      <c r="C168" s="57"/>
      <c r="D168" s="95" t="s">
        <v>235</v>
      </c>
      <c r="E168" s="40" t="s">
        <v>198</v>
      </c>
      <c r="F168" s="45" t="s">
        <v>75</v>
      </c>
      <c r="G168" s="65" t="s">
        <v>805</v>
      </c>
      <c r="H168" s="59" t="s">
        <v>804</v>
      </c>
      <c r="I168" s="46">
        <f>2591640+1250000+2591640+1250000</f>
        <v>7683280</v>
      </c>
      <c r="J168" s="56" t="s">
        <v>933</v>
      </c>
    </row>
    <row r="169" spans="2:10" ht="45" x14ac:dyDescent="0.2">
      <c r="B169" s="57"/>
      <c r="C169" s="57"/>
      <c r="D169" s="95" t="s">
        <v>235</v>
      </c>
      <c r="E169" s="40" t="s">
        <v>198</v>
      </c>
      <c r="F169" s="45" t="s">
        <v>111</v>
      </c>
      <c r="G169" s="67" t="s">
        <v>802</v>
      </c>
      <c r="H169" s="59" t="s">
        <v>801</v>
      </c>
      <c r="I169" s="46">
        <f>3224968+51053+351861</f>
        <v>3627882</v>
      </c>
      <c r="J169" s="56" t="s">
        <v>932</v>
      </c>
    </row>
    <row r="170" spans="2:10" ht="45" x14ac:dyDescent="0.2">
      <c r="B170" s="57"/>
      <c r="C170" s="57"/>
      <c r="D170" s="95" t="s">
        <v>236</v>
      </c>
      <c r="E170" s="40" t="s">
        <v>198</v>
      </c>
      <c r="F170" s="45" t="s">
        <v>309</v>
      </c>
      <c r="G170" s="60" t="s">
        <v>931</v>
      </c>
      <c r="H170" s="59" t="s">
        <v>930</v>
      </c>
      <c r="I170" s="46">
        <v>36626.699999999997</v>
      </c>
      <c r="J170" s="56" t="s">
        <v>929</v>
      </c>
    </row>
    <row r="171" spans="2:10" ht="30" x14ac:dyDescent="0.2">
      <c r="B171" s="57"/>
      <c r="C171" s="57"/>
      <c r="D171" s="95" t="s">
        <v>24</v>
      </c>
      <c r="E171" s="40" t="s">
        <v>198</v>
      </c>
      <c r="F171" s="45" t="s">
        <v>310</v>
      </c>
      <c r="G171" s="52">
        <v>305</v>
      </c>
      <c r="I171" s="46">
        <f>144393+30607</f>
        <v>175000</v>
      </c>
      <c r="J171" s="56" t="s">
        <v>859</v>
      </c>
    </row>
    <row r="172" spans="2:10" ht="45" x14ac:dyDescent="0.2">
      <c r="B172" s="57"/>
      <c r="C172" s="57"/>
      <c r="D172" s="95" t="s">
        <v>26</v>
      </c>
      <c r="E172" s="40" t="s">
        <v>198</v>
      </c>
      <c r="F172" s="45" t="s">
        <v>78</v>
      </c>
      <c r="G172" s="65" t="s">
        <v>793</v>
      </c>
      <c r="H172" s="59" t="s">
        <v>792</v>
      </c>
      <c r="I172" s="46">
        <f>144000+46325</f>
        <v>190325</v>
      </c>
      <c r="J172" s="56" t="s">
        <v>928</v>
      </c>
    </row>
    <row r="173" spans="2:10" ht="45" x14ac:dyDescent="0.2">
      <c r="B173" s="57"/>
      <c r="C173" s="57"/>
      <c r="D173" s="95" t="s">
        <v>237</v>
      </c>
      <c r="E173" s="40" t="s">
        <v>198</v>
      </c>
      <c r="F173" s="45" t="s">
        <v>81</v>
      </c>
      <c r="G173" s="60" t="s">
        <v>775</v>
      </c>
      <c r="H173" s="59" t="s">
        <v>774</v>
      </c>
      <c r="I173" s="46">
        <f>543130+171353</f>
        <v>714483</v>
      </c>
      <c r="J173" s="56" t="s">
        <v>927</v>
      </c>
    </row>
    <row r="174" spans="2:10" ht="30" x14ac:dyDescent="0.2">
      <c r="B174" s="57"/>
      <c r="C174" s="57"/>
      <c r="D174" s="95" t="s">
        <v>31</v>
      </c>
      <c r="E174" s="40" t="s">
        <v>198</v>
      </c>
      <c r="F174" s="45" t="s">
        <v>311</v>
      </c>
      <c r="G174" s="65" t="s">
        <v>789</v>
      </c>
      <c r="H174" s="59" t="s">
        <v>788</v>
      </c>
      <c r="I174" s="46">
        <f>72000+5000</f>
        <v>77000</v>
      </c>
      <c r="J174" s="56" t="s">
        <v>736</v>
      </c>
    </row>
    <row r="175" spans="2:10" ht="30" x14ac:dyDescent="0.2">
      <c r="B175" s="57"/>
      <c r="C175" s="57"/>
      <c r="D175" s="95" t="s">
        <v>33</v>
      </c>
      <c r="E175" s="40" t="s">
        <v>198</v>
      </c>
      <c r="F175" s="45" t="s">
        <v>312</v>
      </c>
      <c r="G175" s="60" t="s">
        <v>786</v>
      </c>
      <c r="H175" s="59" t="s">
        <v>785</v>
      </c>
      <c r="I175" s="46">
        <f>129600+10000+129600+10000</f>
        <v>279200</v>
      </c>
      <c r="J175" s="56" t="s">
        <v>637</v>
      </c>
    </row>
    <row r="176" spans="2:10" ht="45" x14ac:dyDescent="0.2">
      <c r="B176" s="57"/>
      <c r="C176" s="57"/>
      <c r="D176" s="95" t="s">
        <v>218</v>
      </c>
      <c r="E176" s="40" t="s">
        <v>198</v>
      </c>
      <c r="F176" s="45" t="s">
        <v>313</v>
      </c>
      <c r="G176" s="65" t="s">
        <v>783</v>
      </c>
      <c r="H176" s="59" t="s">
        <v>782</v>
      </c>
      <c r="I176" s="46">
        <v>48722</v>
      </c>
      <c r="J176" s="56" t="s">
        <v>926</v>
      </c>
    </row>
    <row r="177" spans="2:10" ht="45" x14ac:dyDescent="0.2">
      <c r="B177" s="57"/>
      <c r="C177" s="57"/>
      <c r="D177" s="95" t="s">
        <v>26</v>
      </c>
      <c r="E177" s="40" t="s">
        <v>198</v>
      </c>
      <c r="F177" s="45" t="s">
        <v>314</v>
      </c>
      <c r="I177" s="46">
        <f>80895+47740</f>
        <v>128635</v>
      </c>
      <c r="J177" s="56" t="s">
        <v>925</v>
      </c>
    </row>
    <row r="178" spans="2:10" ht="45" x14ac:dyDescent="0.2">
      <c r="B178" s="57"/>
      <c r="C178" s="57"/>
      <c r="D178" s="45" t="s">
        <v>396</v>
      </c>
      <c r="E178" s="40" t="s">
        <v>198</v>
      </c>
      <c r="F178" s="45" t="s">
        <v>83</v>
      </c>
      <c r="G178" s="65" t="s">
        <v>924</v>
      </c>
      <c r="H178" s="98" t="s">
        <v>923</v>
      </c>
      <c r="I178" s="46">
        <f>543600+249405+548545+848859</f>
        <v>2190409</v>
      </c>
      <c r="J178" s="56" t="s">
        <v>922</v>
      </c>
    </row>
    <row r="179" spans="2:10" ht="30" x14ac:dyDescent="0.2">
      <c r="B179" s="57"/>
      <c r="C179" s="57"/>
      <c r="D179" s="95" t="s">
        <v>22</v>
      </c>
      <c r="E179" s="40" t="s">
        <v>198</v>
      </c>
      <c r="F179" s="45" t="s">
        <v>315</v>
      </c>
      <c r="G179" s="52">
        <v>353</v>
      </c>
      <c r="I179" s="46">
        <f>72000+5000+38710</f>
        <v>115710</v>
      </c>
      <c r="J179" s="56" t="s">
        <v>921</v>
      </c>
    </row>
    <row r="180" spans="2:10" ht="30" x14ac:dyDescent="0.2">
      <c r="B180" s="57"/>
      <c r="C180" s="57"/>
      <c r="D180" s="95" t="s">
        <v>239</v>
      </c>
      <c r="E180" s="40" t="s">
        <v>198</v>
      </c>
      <c r="F180" s="97" t="s">
        <v>316</v>
      </c>
      <c r="G180" s="79" t="s">
        <v>751</v>
      </c>
      <c r="H180" s="96"/>
      <c r="I180" s="46">
        <f>370908+74198</f>
        <v>445106</v>
      </c>
      <c r="J180" s="56" t="s">
        <v>920</v>
      </c>
    </row>
    <row r="181" spans="2:10" ht="45" x14ac:dyDescent="0.2">
      <c r="B181" s="57"/>
      <c r="C181" s="57"/>
      <c r="D181" s="95" t="s">
        <v>221</v>
      </c>
      <c r="E181" s="40" t="s">
        <v>198</v>
      </c>
      <c r="F181" s="45" t="s">
        <v>317</v>
      </c>
      <c r="I181" s="46">
        <f>339954+83523</f>
        <v>423477</v>
      </c>
      <c r="J181" s="56" t="s">
        <v>919</v>
      </c>
    </row>
    <row r="182" spans="2:10" ht="45" x14ac:dyDescent="0.2">
      <c r="B182" s="57"/>
      <c r="C182" s="57"/>
      <c r="D182" s="45" t="s">
        <v>397</v>
      </c>
      <c r="E182" s="40" t="s">
        <v>198</v>
      </c>
      <c r="F182" s="45" t="s">
        <v>86</v>
      </c>
      <c r="G182" s="60" t="s">
        <v>763</v>
      </c>
      <c r="H182" s="59" t="s">
        <v>762</v>
      </c>
      <c r="I182" s="46">
        <f>591636+134581</f>
        <v>726217</v>
      </c>
      <c r="J182" s="56" t="s">
        <v>918</v>
      </c>
    </row>
    <row r="183" spans="2:10" ht="30" x14ac:dyDescent="0.2">
      <c r="B183" s="57"/>
      <c r="C183" s="57"/>
      <c r="D183" s="45" t="s">
        <v>398</v>
      </c>
      <c r="E183" s="40" t="s">
        <v>198</v>
      </c>
      <c r="F183" s="45" t="s">
        <v>318</v>
      </c>
      <c r="G183" s="94" t="s">
        <v>757</v>
      </c>
      <c r="H183" s="93" t="s">
        <v>756</v>
      </c>
      <c r="I183" s="46">
        <f>144000+10000</f>
        <v>154000</v>
      </c>
      <c r="J183" s="56" t="s">
        <v>917</v>
      </c>
    </row>
    <row r="184" spans="2:10" ht="40" x14ac:dyDescent="0.2">
      <c r="B184" s="57"/>
      <c r="C184" s="57"/>
      <c r="D184" s="95" t="s">
        <v>217</v>
      </c>
      <c r="E184" s="40" t="s">
        <v>198</v>
      </c>
      <c r="F184" s="45" t="s">
        <v>319</v>
      </c>
      <c r="G184" s="67" t="s">
        <v>916</v>
      </c>
      <c r="H184" s="66" t="s">
        <v>915</v>
      </c>
      <c r="I184" s="46">
        <f>144000+10000+72000+5000</f>
        <v>231000</v>
      </c>
      <c r="J184" s="56" t="s">
        <v>914</v>
      </c>
    </row>
    <row r="185" spans="2:10" ht="40" x14ac:dyDescent="0.2">
      <c r="B185" s="57"/>
      <c r="C185" s="57"/>
      <c r="D185" s="95" t="s">
        <v>216</v>
      </c>
      <c r="E185" s="40" t="s">
        <v>198</v>
      </c>
      <c r="F185" s="45" t="s">
        <v>320</v>
      </c>
      <c r="I185" s="46">
        <f>120000+10000+24000</f>
        <v>154000</v>
      </c>
      <c r="J185" s="56" t="s">
        <v>844</v>
      </c>
    </row>
    <row r="186" spans="2:10" ht="45" x14ac:dyDescent="0.2">
      <c r="B186" s="57"/>
      <c r="C186" s="57"/>
      <c r="D186" s="95" t="s">
        <v>216</v>
      </c>
      <c r="E186" s="40" t="s">
        <v>198</v>
      </c>
      <c r="F186" s="45" t="s">
        <v>321</v>
      </c>
      <c r="G186" s="79" t="s">
        <v>751</v>
      </c>
      <c r="I186" s="46">
        <f>219648+211606</f>
        <v>431254</v>
      </c>
      <c r="J186" s="56" t="s">
        <v>913</v>
      </c>
    </row>
    <row r="187" spans="2:10" ht="30" x14ac:dyDescent="0.2">
      <c r="B187" s="57"/>
      <c r="C187" s="57"/>
      <c r="D187" s="95" t="s">
        <v>291</v>
      </c>
      <c r="E187" s="40" t="s">
        <v>198</v>
      </c>
      <c r="F187" s="45" t="s">
        <v>322</v>
      </c>
      <c r="G187" s="92" t="s">
        <v>749</v>
      </c>
      <c r="H187" s="91" t="s">
        <v>748</v>
      </c>
      <c r="I187" s="46">
        <f>72000+5000</f>
        <v>77000</v>
      </c>
      <c r="J187" s="56" t="s">
        <v>736</v>
      </c>
    </row>
    <row r="188" spans="2:10" ht="45" x14ac:dyDescent="0.2">
      <c r="B188" s="57"/>
      <c r="C188" s="57"/>
      <c r="D188" s="95" t="s">
        <v>399</v>
      </c>
      <c r="E188" s="40" t="s">
        <v>198</v>
      </c>
      <c r="F188" s="45" t="s">
        <v>323</v>
      </c>
      <c r="I188" s="46">
        <f>165600+5667+27600</f>
        <v>198867</v>
      </c>
      <c r="J188" s="56" t="s">
        <v>912</v>
      </c>
    </row>
    <row r="189" spans="2:10" ht="45" x14ac:dyDescent="0.2">
      <c r="B189" s="57"/>
      <c r="C189" s="57"/>
      <c r="D189" s="95" t="s">
        <v>217</v>
      </c>
      <c r="E189" s="40" t="s">
        <v>198</v>
      </c>
      <c r="F189" s="45" t="s">
        <v>324</v>
      </c>
      <c r="G189" s="60" t="s">
        <v>760</v>
      </c>
      <c r="H189" s="59" t="s">
        <v>759</v>
      </c>
      <c r="I189" s="46">
        <f>120000+8330</f>
        <v>128330</v>
      </c>
      <c r="J189" s="56" t="s">
        <v>806</v>
      </c>
    </row>
    <row r="190" spans="2:10" ht="45" x14ac:dyDescent="0.2">
      <c r="B190" s="57"/>
      <c r="C190" s="57"/>
      <c r="D190" s="95" t="s">
        <v>218</v>
      </c>
      <c r="E190" s="40" t="s">
        <v>198</v>
      </c>
      <c r="F190" s="45" t="s">
        <v>325</v>
      </c>
      <c r="G190" s="90" t="s">
        <v>742</v>
      </c>
      <c r="H190" s="89" t="s">
        <v>741</v>
      </c>
      <c r="I190" s="46">
        <f>261600+18325</f>
        <v>279925</v>
      </c>
      <c r="J190" s="56" t="s">
        <v>911</v>
      </c>
    </row>
    <row r="191" spans="2:10" ht="45" x14ac:dyDescent="0.2">
      <c r="B191" s="57"/>
      <c r="C191" s="57"/>
      <c r="D191" s="95" t="s">
        <v>18</v>
      </c>
      <c r="E191" s="40" t="s">
        <v>198</v>
      </c>
      <c r="F191" s="45" t="s">
        <v>42</v>
      </c>
      <c r="G191" s="88" t="s">
        <v>740</v>
      </c>
      <c r="H191" s="51" t="s">
        <v>739</v>
      </c>
      <c r="I191" s="46">
        <f>515610+378906+1138800+389410</f>
        <v>2422726</v>
      </c>
      <c r="J191" s="56" t="s">
        <v>910</v>
      </c>
    </row>
    <row r="192" spans="2:10" ht="30" x14ac:dyDescent="0.2">
      <c r="B192" s="57"/>
      <c r="C192" s="57"/>
      <c r="D192" s="95" t="s">
        <v>21</v>
      </c>
      <c r="E192" s="40" t="s">
        <v>198</v>
      </c>
      <c r="F192" s="45" t="s">
        <v>326</v>
      </c>
      <c r="G192" s="60" t="s">
        <v>909</v>
      </c>
      <c r="H192" s="59" t="s">
        <v>908</v>
      </c>
      <c r="I192" s="46">
        <f>210199+20000</f>
        <v>230199</v>
      </c>
      <c r="J192" s="56" t="s">
        <v>907</v>
      </c>
    </row>
    <row r="193" spans="2:10" ht="45" x14ac:dyDescent="0.2">
      <c r="B193" s="57"/>
      <c r="C193" s="57"/>
      <c r="D193" s="95" t="s">
        <v>24</v>
      </c>
      <c r="E193" s="40" t="s">
        <v>198</v>
      </c>
      <c r="F193" s="45" t="s">
        <v>327</v>
      </c>
      <c r="G193" s="52">
        <v>390</v>
      </c>
      <c r="I193" s="46">
        <f>583200+770759+623340+353120</f>
        <v>2330419</v>
      </c>
      <c r="J193" s="56" t="s">
        <v>906</v>
      </c>
    </row>
    <row r="194" spans="2:10" ht="30" x14ac:dyDescent="0.2">
      <c r="B194" s="57"/>
      <c r="C194" s="57"/>
      <c r="D194" s="95" t="s">
        <v>216</v>
      </c>
      <c r="E194" s="40" t="s">
        <v>198</v>
      </c>
      <c r="F194" s="45" t="s">
        <v>328</v>
      </c>
      <c r="G194" s="87" t="s">
        <v>728</v>
      </c>
      <c r="H194" s="86" t="s">
        <v>727</v>
      </c>
      <c r="I194" s="46">
        <f>93600+6667+96000+6667+96000+6667</f>
        <v>305601</v>
      </c>
      <c r="J194" s="56" t="s">
        <v>905</v>
      </c>
    </row>
    <row r="195" spans="2:10" ht="30" x14ac:dyDescent="0.2">
      <c r="B195" s="57"/>
      <c r="C195" s="57"/>
      <c r="D195" s="95" t="s">
        <v>219</v>
      </c>
      <c r="E195" s="40" t="s">
        <v>198</v>
      </c>
      <c r="F195" s="45" t="s">
        <v>329</v>
      </c>
      <c r="G195" s="87" t="s">
        <v>726</v>
      </c>
      <c r="H195" s="86" t="s">
        <v>725</v>
      </c>
      <c r="I195" s="46">
        <f>140206+10000+72000+5000+72000+5000</f>
        <v>304206</v>
      </c>
      <c r="J195" s="56" t="s">
        <v>904</v>
      </c>
    </row>
    <row r="196" spans="2:10" ht="30" x14ac:dyDescent="0.2">
      <c r="B196" s="57"/>
      <c r="C196" s="57"/>
      <c r="D196" s="95" t="s">
        <v>400</v>
      </c>
      <c r="E196" s="40" t="s">
        <v>198</v>
      </c>
      <c r="F196" s="45" t="s">
        <v>330</v>
      </c>
      <c r="G196" s="67" t="s">
        <v>723</v>
      </c>
      <c r="H196" s="66" t="s">
        <v>722</v>
      </c>
      <c r="I196" s="46">
        <f>144000+10000+121428+8572</f>
        <v>284000</v>
      </c>
      <c r="J196" s="56" t="s">
        <v>903</v>
      </c>
    </row>
    <row r="197" spans="2:10" ht="30" x14ac:dyDescent="0.2">
      <c r="B197" s="57"/>
      <c r="C197" s="57"/>
      <c r="D197" s="95" t="s">
        <v>220</v>
      </c>
      <c r="E197" s="40" t="s">
        <v>198</v>
      </c>
      <c r="F197" s="45" t="s">
        <v>331</v>
      </c>
      <c r="I197" s="46">
        <f>194400+15000+64800+5000</f>
        <v>279200</v>
      </c>
      <c r="J197" s="56" t="s">
        <v>619</v>
      </c>
    </row>
    <row r="198" spans="2:10" ht="45" x14ac:dyDescent="0.2">
      <c r="B198" s="57"/>
      <c r="C198" s="57"/>
      <c r="D198" s="95" t="s">
        <v>21</v>
      </c>
      <c r="E198" s="40" t="s">
        <v>198</v>
      </c>
      <c r="F198" s="45" t="s">
        <v>332</v>
      </c>
      <c r="I198" s="46">
        <f>43200+3335+194245+11665</f>
        <v>252445</v>
      </c>
      <c r="J198" s="56" t="s">
        <v>902</v>
      </c>
    </row>
    <row r="199" spans="2:10" ht="45" x14ac:dyDescent="0.2">
      <c r="B199" s="57"/>
      <c r="C199" s="57"/>
      <c r="D199" s="95" t="s">
        <v>22</v>
      </c>
      <c r="E199" s="40" t="s">
        <v>198</v>
      </c>
      <c r="F199" s="45" t="s">
        <v>333</v>
      </c>
      <c r="I199" s="46">
        <f>64800+5000+139974+10000+72000+5000</f>
        <v>296774</v>
      </c>
      <c r="J199" s="56" t="s">
        <v>901</v>
      </c>
    </row>
    <row r="200" spans="2:10" ht="45" x14ac:dyDescent="0.2">
      <c r="B200" s="57"/>
      <c r="C200" s="57"/>
      <c r="D200" s="95" t="s">
        <v>401</v>
      </c>
      <c r="E200" s="40" t="s">
        <v>198</v>
      </c>
      <c r="F200" s="45" t="s">
        <v>334</v>
      </c>
      <c r="I200" s="46">
        <f>172800+13333</f>
        <v>186133</v>
      </c>
      <c r="J200" s="56" t="s">
        <v>900</v>
      </c>
    </row>
    <row r="201" spans="2:10" ht="30" x14ac:dyDescent="0.2">
      <c r="B201" s="57"/>
      <c r="C201" s="57"/>
      <c r="D201" s="95" t="s">
        <v>33</v>
      </c>
      <c r="E201" s="40" t="s">
        <v>198</v>
      </c>
      <c r="F201" s="45" t="s">
        <v>335</v>
      </c>
      <c r="I201" s="46">
        <f>129600+10000</f>
        <v>139600</v>
      </c>
      <c r="J201" s="56" t="s">
        <v>899</v>
      </c>
    </row>
    <row r="202" spans="2:10" ht="45" x14ac:dyDescent="0.2">
      <c r="B202" s="57"/>
      <c r="C202" s="57"/>
      <c r="D202" s="95" t="s">
        <v>221</v>
      </c>
      <c r="E202" s="40" t="s">
        <v>198</v>
      </c>
      <c r="F202" s="45" t="s">
        <v>336</v>
      </c>
      <c r="I202" s="46">
        <f>276525+600733+277200+613331</f>
        <v>1767789</v>
      </c>
      <c r="J202" s="56" t="s">
        <v>898</v>
      </c>
    </row>
    <row r="203" spans="2:10" ht="30" x14ac:dyDescent="0.2">
      <c r="B203" s="57"/>
      <c r="C203" s="57"/>
      <c r="D203" s="95" t="s">
        <v>222</v>
      </c>
      <c r="E203" s="40" t="s">
        <v>198</v>
      </c>
      <c r="F203" s="45" t="s">
        <v>337</v>
      </c>
      <c r="I203" s="46">
        <f>108000+8330+324060+16600</f>
        <v>456990</v>
      </c>
      <c r="J203" s="56" t="s">
        <v>897</v>
      </c>
    </row>
    <row r="204" spans="2:10" ht="45" x14ac:dyDescent="0.2">
      <c r="B204" s="57"/>
      <c r="C204" s="57"/>
      <c r="D204" s="95" t="s">
        <v>35</v>
      </c>
      <c r="E204" s="40" t="s">
        <v>198</v>
      </c>
      <c r="F204" s="45" t="s">
        <v>338</v>
      </c>
      <c r="I204" s="46">
        <f>129600+10000+165600+11667</f>
        <v>316867</v>
      </c>
      <c r="J204" s="56" t="s">
        <v>896</v>
      </c>
    </row>
    <row r="205" spans="2:10" ht="30" x14ac:dyDescent="0.2">
      <c r="B205" s="57"/>
      <c r="C205" s="57"/>
      <c r="D205" s="95" t="s">
        <v>221</v>
      </c>
      <c r="E205" s="40" t="s">
        <v>198</v>
      </c>
      <c r="F205" s="45" t="s">
        <v>57</v>
      </c>
      <c r="I205" s="46">
        <f>432836+414126+499920+414127</f>
        <v>1761009</v>
      </c>
      <c r="J205" s="56" t="s">
        <v>895</v>
      </c>
    </row>
    <row r="206" spans="2:10" ht="45" x14ac:dyDescent="0.2">
      <c r="B206" s="57"/>
      <c r="C206" s="57"/>
      <c r="D206" s="95" t="s">
        <v>33</v>
      </c>
      <c r="E206" s="40" t="s">
        <v>198</v>
      </c>
      <c r="F206" s="45" t="s">
        <v>339</v>
      </c>
      <c r="I206" s="46">
        <f>280800+21666+144000+10000+67200+3333</f>
        <v>526999</v>
      </c>
      <c r="J206" s="56" t="s">
        <v>894</v>
      </c>
    </row>
    <row r="207" spans="2:10" ht="45" x14ac:dyDescent="0.2">
      <c r="B207" s="57"/>
      <c r="C207" s="57"/>
      <c r="D207" s="95" t="s">
        <v>224</v>
      </c>
      <c r="E207" s="40" t="s">
        <v>198</v>
      </c>
      <c r="F207" s="45" t="s">
        <v>340</v>
      </c>
      <c r="I207" s="46">
        <f>237600+18300+213120+11665</f>
        <v>480685</v>
      </c>
      <c r="J207" s="56" t="s">
        <v>893</v>
      </c>
    </row>
    <row r="208" spans="2:10" ht="30" x14ac:dyDescent="0.2">
      <c r="B208" s="57"/>
      <c r="C208" s="57"/>
      <c r="D208" s="95" t="s">
        <v>223</v>
      </c>
      <c r="E208" s="40" t="s">
        <v>198</v>
      </c>
      <c r="F208" s="45" t="s">
        <v>341</v>
      </c>
      <c r="I208" s="46">
        <f>280800+21666+249600</f>
        <v>552066</v>
      </c>
      <c r="J208" s="56" t="s">
        <v>892</v>
      </c>
    </row>
    <row r="209" spans="2:10" ht="45" x14ac:dyDescent="0.2">
      <c r="B209" s="57"/>
      <c r="C209" s="57"/>
      <c r="D209" s="95" t="s">
        <v>33</v>
      </c>
      <c r="E209" s="40" t="s">
        <v>198</v>
      </c>
      <c r="F209" s="45" t="s">
        <v>342</v>
      </c>
      <c r="I209" s="46">
        <f>259200+431175</f>
        <v>690375</v>
      </c>
      <c r="J209" s="56" t="s">
        <v>891</v>
      </c>
    </row>
    <row r="210" spans="2:10" ht="45" x14ac:dyDescent="0.2">
      <c r="B210" s="57"/>
      <c r="C210" s="57"/>
      <c r="D210" s="95" t="s">
        <v>220</v>
      </c>
      <c r="E210" s="40" t="s">
        <v>198</v>
      </c>
      <c r="F210" s="45" t="s">
        <v>59</v>
      </c>
      <c r="G210" s="79" t="s">
        <v>689</v>
      </c>
      <c r="H210" s="78" t="s">
        <v>688</v>
      </c>
      <c r="I210" s="46">
        <f>294522+127285+637220+280691</f>
        <v>1339718</v>
      </c>
      <c r="J210" s="56" t="s">
        <v>890</v>
      </c>
    </row>
    <row r="211" spans="2:10" ht="45" x14ac:dyDescent="0.2">
      <c r="B211" s="57"/>
      <c r="C211" s="57"/>
      <c r="D211" s="95" t="s">
        <v>27</v>
      </c>
      <c r="E211" s="40" t="s">
        <v>198</v>
      </c>
      <c r="F211" s="45" t="s">
        <v>343</v>
      </c>
      <c r="I211" s="46">
        <f>368400+22558</f>
        <v>390958</v>
      </c>
      <c r="J211" s="56" t="s">
        <v>889</v>
      </c>
    </row>
    <row r="212" spans="2:10" ht="30" x14ac:dyDescent="0.2">
      <c r="B212" s="57"/>
      <c r="C212" s="57"/>
      <c r="D212" s="95" t="s">
        <v>228</v>
      </c>
      <c r="E212" s="40" t="s">
        <v>198</v>
      </c>
      <c r="F212" s="45" t="s">
        <v>65</v>
      </c>
      <c r="G212" s="59" t="s">
        <v>683</v>
      </c>
      <c r="H212" s="59" t="s">
        <v>682</v>
      </c>
      <c r="I212" s="46">
        <f>315000</f>
        <v>315000</v>
      </c>
      <c r="J212" s="56" t="s">
        <v>681</v>
      </c>
    </row>
    <row r="213" spans="2:10" ht="30" x14ac:dyDescent="0.2">
      <c r="B213" s="57"/>
      <c r="C213" s="57"/>
      <c r="D213" s="95" t="s">
        <v>225</v>
      </c>
      <c r="E213" s="40" t="s">
        <v>198</v>
      </c>
      <c r="F213" s="45" t="s">
        <v>60</v>
      </c>
      <c r="G213" s="67" t="s">
        <v>680</v>
      </c>
      <c r="H213" s="66" t="s">
        <v>679</v>
      </c>
      <c r="I213" s="46">
        <f>129600+10000+129600+10000+69800</f>
        <v>349000</v>
      </c>
      <c r="J213" s="56" t="s">
        <v>713</v>
      </c>
    </row>
    <row r="214" spans="2:10" ht="30" x14ac:dyDescent="0.2">
      <c r="B214" s="57"/>
      <c r="C214" s="57"/>
      <c r="D214" s="95" t="s">
        <v>25</v>
      </c>
      <c r="E214" s="40" t="s">
        <v>198</v>
      </c>
      <c r="F214" s="45" t="s">
        <v>344</v>
      </c>
      <c r="G214" s="67" t="s">
        <v>677</v>
      </c>
      <c r="H214" s="66" t="s">
        <v>676</v>
      </c>
      <c r="I214" s="46">
        <f>139600+139600+129600+10000</f>
        <v>418800</v>
      </c>
      <c r="J214" s="56" t="s">
        <v>888</v>
      </c>
    </row>
    <row r="215" spans="2:10" ht="30" x14ac:dyDescent="0.2">
      <c r="B215" s="57"/>
      <c r="C215" s="57"/>
      <c r="D215" s="95" t="s">
        <v>38</v>
      </c>
      <c r="E215" s="40" t="s">
        <v>198</v>
      </c>
      <c r="F215" s="45" t="s">
        <v>345</v>
      </c>
      <c r="G215" s="67" t="s">
        <v>675</v>
      </c>
      <c r="H215" s="66" t="s">
        <v>674</v>
      </c>
      <c r="I215" s="46">
        <f>129600+10000+206748+11666</f>
        <v>358014</v>
      </c>
      <c r="J215" s="56" t="s">
        <v>887</v>
      </c>
    </row>
    <row r="216" spans="2:10" ht="45" x14ac:dyDescent="0.2">
      <c r="B216" s="57"/>
      <c r="C216" s="57"/>
      <c r="D216" s="95" t="s">
        <v>226</v>
      </c>
      <c r="E216" s="40" t="s">
        <v>198</v>
      </c>
      <c r="F216" s="45" t="s">
        <v>346</v>
      </c>
      <c r="G216" s="67" t="s">
        <v>672</v>
      </c>
      <c r="H216" s="66" t="s">
        <v>671</v>
      </c>
      <c r="I216" s="46">
        <f>129600+10000+129600+10000+74799</f>
        <v>353999</v>
      </c>
      <c r="J216" s="56" t="s">
        <v>886</v>
      </c>
    </row>
    <row r="217" spans="2:10" ht="27" x14ac:dyDescent="0.2">
      <c r="B217" s="57"/>
      <c r="C217" s="57"/>
      <c r="D217" s="95" t="s">
        <v>402</v>
      </c>
      <c r="E217" s="40" t="s">
        <v>198</v>
      </c>
      <c r="F217" s="45" t="s">
        <v>347</v>
      </c>
      <c r="I217" s="46">
        <f>36000</f>
        <v>36000</v>
      </c>
      <c r="J217" s="56" t="s">
        <v>885</v>
      </c>
    </row>
    <row r="218" spans="2:10" ht="30" x14ac:dyDescent="0.2">
      <c r="B218" s="57"/>
      <c r="C218" s="57"/>
      <c r="D218" s="95" t="s">
        <v>403</v>
      </c>
      <c r="E218" s="40" t="s">
        <v>198</v>
      </c>
      <c r="F218" s="45" t="s">
        <v>64</v>
      </c>
      <c r="G218" s="67" t="s">
        <v>668</v>
      </c>
      <c r="H218" s="66" t="s">
        <v>667</v>
      </c>
      <c r="I218" s="46">
        <f>64800+5000</f>
        <v>69800</v>
      </c>
      <c r="J218" s="56" t="s">
        <v>884</v>
      </c>
    </row>
    <row r="219" spans="2:10" ht="30" x14ac:dyDescent="0.2">
      <c r="B219" s="57"/>
      <c r="C219" s="57"/>
      <c r="D219" s="95" t="s">
        <v>230</v>
      </c>
      <c r="E219" s="40" t="s">
        <v>198</v>
      </c>
      <c r="F219" s="45" t="s">
        <v>67</v>
      </c>
      <c r="G219" s="60" t="s">
        <v>665</v>
      </c>
      <c r="H219" s="59" t="s">
        <v>664</v>
      </c>
      <c r="I219" s="46">
        <f>129600+10000+194400+15000</f>
        <v>349000</v>
      </c>
      <c r="J219" s="56" t="s">
        <v>883</v>
      </c>
    </row>
    <row r="220" spans="2:10" ht="45" x14ac:dyDescent="0.2">
      <c r="B220" s="57"/>
      <c r="C220" s="57"/>
      <c r="D220" s="95" t="s">
        <v>231</v>
      </c>
      <c r="E220" s="40" t="s">
        <v>198</v>
      </c>
      <c r="F220" s="45" t="s">
        <v>68</v>
      </c>
      <c r="G220" s="65" t="s">
        <v>662</v>
      </c>
      <c r="H220" s="68" t="s">
        <v>661</v>
      </c>
      <c r="I220" s="46">
        <f>129600+216480+186560+216480</f>
        <v>749120</v>
      </c>
      <c r="J220" s="56" t="s">
        <v>882</v>
      </c>
    </row>
    <row r="221" spans="2:10" ht="30" x14ac:dyDescent="0.2">
      <c r="B221" s="57"/>
      <c r="C221" s="57"/>
      <c r="D221" s="95" t="s">
        <v>24</v>
      </c>
      <c r="E221" s="40" t="s">
        <v>198</v>
      </c>
      <c r="F221" s="45" t="s">
        <v>69</v>
      </c>
      <c r="G221" s="62" t="s">
        <v>659</v>
      </c>
      <c r="H221" s="61" t="s">
        <v>658</v>
      </c>
      <c r="I221" s="46">
        <f>108000+10000+201600+10000</f>
        <v>329600</v>
      </c>
      <c r="J221" s="56" t="s">
        <v>881</v>
      </c>
    </row>
    <row r="222" spans="2:10" ht="30" x14ac:dyDescent="0.2">
      <c r="B222" s="57"/>
      <c r="C222" s="57"/>
      <c r="D222" s="95" t="s">
        <v>225</v>
      </c>
      <c r="E222" s="40" t="s">
        <v>198</v>
      </c>
      <c r="F222" s="45" t="s">
        <v>70</v>
      </c>
      <c r="G222" s="77" t="s">
        <v>656</v>
      </c>
      <c r="H222" s="59" t="s">
        <v>655</v>
      </c>
      <c r="I222" s="46">
        <f>129600+10000+129600+10000+273600+10000</f>
        <v>562800</v>
      </c>
      <c r="J222" s="56" t="s">
        <v>880</v>
      </c>
    </row>
    <row r="223" spans="2:10" ht="45" x14ac:dyDescent="0.2">
      <c r="B223" s="57"/>
      <c r="C223" s="57"/>
      <c r="D223" s="95" t="s">
        <v>232</v>
      </c>
      <c r="E223" s="40" t="s">
        <v>198</v>
      </c>
      <c r="F223" s="45" t="s">
        <v>348</v>
      </c>
      <c r="G223" s="62" t="s">
        <v>653</v>
      </c>
      <c r="H223" s="76" t="s">
        <v>652</v>
      </c>
      <c r="I223" s="46">
        <f>205200+141510+68400+47170+191141+132118+288540+198180</f>
        <v>1272259</v>
      </c>
      <c r="J223" s="56" t="s">
        <v>879</v>
      </c>
    </row>
    <row r="224" spans="2:10" ht="45" x14ac:dyDescent="0.2">
      <c r="B224" s="57"/>
      <c r="C224" s="57"/>
      <c r="D224" s="95" t="s">
        <v>404</v>
      </c>
      <c r="E224" s="40" t="s">
        <v>198</v>
      </c>
      <c r="F224" s="45" t="s">
        <v>349</v>
      </c>
      <c r="I224" s="46">
        <v>39428</v>
      </c>
      <c r="J224" s="56" t="s">
        <v>878</v>
      </c>
    </row>
    <row r="225" spans="2:10" ht="30" x14ac:dyDescent="0.2">
      <c r="B225" s="57"/>
      <c r="C225" s="57"/>
      <c r="D225" s="95" t="s">
        <v>24</v>
      </c>
      <c r="E225" s="40" t="s">
        <v>198</v>
      </c>
      <c r="F225" s="45" t="s">
        <v>350</v>
      </c>
      <c r="I225" s="46">
        <f>129600+10000+129600+10000+86400+6667+268800+13333</f>
        <v>654400</v>
      </c>
      <c r="J225" s="56" t="s">
        <v>877</v>
      </c>
    </row>
    <row r="226" spans="2:10" ht="45" x14ac:dyDescent="0.2">
      <c r="B226" s="57"/>
      <c r="C226" s="57"/>
      <c r="D226" s="95" t="s">
        <v>37</v>
      </c>
      <c r="E226" s="40" t="s">
        <v>198</v>
      </c>
      <c r="F226" s="45" t="s">
        <v>351</v>
      </c>
      <c r="I226" s="46">
        <f>364686+592000</f>
        <v>956686</v>
      </c>
      <c r="J226" s="56" t="s">
        <v>876</v>
      </c>
    </row>
    <row r="227" spans="2:10" ht="30" x14ac:dyDescent="0.2">
      <c r="B227" s="57"/>
      <c r="C227" s="57"/>
      <c r="D227" s="95" t="s">
        <v>231</v>
      </c>
      <c r="E227" s="40" t="s">
        <v>198</v>
      </c>
      <c r="F227" s="45" t="s">
        <v>352</v>
      </c>
      <c r="G227" s="60" t="s">
        <v>875</v>
      </c>
      <c r="H227" s="59" t="s">
        <v>874</v>
      </c>
      <c r="I227" s="46">
        <f>129600+10000+129600+10000</f>
        <v>279200</v>
      </c>
      <c r="J227" s="56" t="s">
        <v>619</v>
      </c>
    </row>
    <row r="228" spans="2:10" ht="45" x14ac:dyDescent="0.2">
      <c r="B228" s="57"/>
      <c r="C228" s="57"/>
      <c r="D228" s="95" t="s">
        <v>231</v>
      </c>
      <c r="E228" s="40" t="s">
        <v>198</v>
      </c>
      <c r="F228" s="45" t="s">
        <v>353</v>
      </c>
      <c r="G228" s="60" t="s">
        <v>873</v>
      </c>
      <c r="H228" s="59" t="s">
        <v>872</v>
      </c>
      <c r="I228" s="46">
        <f>129600+10000+129600+10000+234503+10000</f>
        <v>523703</v>
      </c>
      <c r="J228" s="56" t="s">
        <v>871</v>
      </c>
    </row>
    <row r="229" spans="2:10" ht="30" x14ac:dyDescent="0.2">
      <c r="B229" s="57"/>
      <c r="C229" s="57"/>
      <c r="D229" s="95" t="s">
        <v>241</v>
      </c>
      <c r="E229" s="40" t="s">
        <v>198</v>
      </c>
      <c r="F229" s="45" t="s">
        <v>354</v>
      </c>
      <c r="G229" s="65" t="s">
        <v>870</v>
      </c>
      <c r="H229" s="59" t="s">
        <v>869</v>
      </c>
      <c r="I229" s="46">
        <f>129600+10000+129600+10000</f>
        <v>279200</v>
      </c>
      <c r="J229" s="56" t="s">
        <v>868</v>
      </c>
    </row>
    <row r="230" spans="2:10" ht="45" x14ac:dyDescent="0.2">
      <c r="B230" s="57"/>
      <c r="C230" s="57"/>
      <c r="D230" s="95" t="s">
        <v>24</v>
      </c>
      <c r="E230" s="40" t="s">
        <v>198</v>
      </c>
      <c r="F230" s="45" t="s">
        <v>355</v>
      </c>
      <c r="G230" s="60" t="s">
        <v>867</v>
      </c>
      <c r="H230" s="59" t="s">
        <v>866</v>
      </c>
      <c r="I230" s="46">
        <f>129600+10000+129600+10000+67200+3332+201600+10000</f>
        <v>561332</v>
      </c>
      <c r="J230" s="56" t="s">
        <v>865</v>
      </c>
    </row>
    <row r="231" spans="2:10" ht="45" x14ac:dyDescent="0.2">
      <c r="B231" s="57"/>
      <c r="C231" s="57"/>
      <c r="D231" s="95" t="s">
        <v>258</v>
      </c>
      <c r="E231" s="40" t="s">
        <v>198</v>
      </c>
      <c r="F231" s="45" t="s">
        <v>356</v>
      </c>
      <c r="I231" s="46">
        <f>129600+10000+129600+10000+263536+10000</f>
        <v>552736</v>
      </c>
      <c r="J231" s="56" t="s">
        <v>864</v>
      </c>
    </row>
    <row r="232" spans="2:10" ht="30" x14ac:dyDescent="0.2">
      <c r="B232" s="57"/>
      <c r="C232" s="57"/>
      <c r="D232" s="95" t="s">
        <v>38</v>
      </c>
      <c r="E232" s="40" t="s">
        <v>198</v>
      </c>
      <c r="F232" s="45" t="s">
        <v>357</v>
      </c>
      <c r="I232" s="46">
        <f>129600+415435+129600+415436</f>
        <v>1090071</v>
      </c>
      <c r="J232" s="56" t="s">
        <v>863</v>
      </c>
    </row>
    <row r="233" spans="2:10" ht="30" x14ac:dyDescent="0.2">
      <c r="B233" s="57"/>
      <c r="C233" s="57"/>
      <c r="D233" s="95" t="s">
        <v>242</v>
      </c>
      <c r="E233" s="40" t="s">
        <v>198</v>
      </c>
      <c r="F233" s="45" t="s">
        <v>358</v>
      </c>
      <c r="I233" s="46">
        <f>129600+10000</f>
        <v>139600</v>
      </c>
      <c r="J233" s="56" t="s">
        <v>663</v>
      </c>
    </row>
    <row r="234" spans="2:10" ht="30" x14ac:dyDescent="0.2">
      <c r="B234" s="57"/>
      <c r="C234" s="57"/>
      <c r="D234" s="95" t="s">
        <v>38</v>
      </c>
      <c r="E234" s="40" t="s">
        <v>198</v>
      </c>
      <c r="F234" s="45" t="s">
        <v>359</v>
      </c>
      <c r="I234" s="46">
        <f>97548+7514</f>
        <v>105062</v>
      </c>
      <c r="J234" s="56" t="s">
        <v>862</v>
      </c>
    </row>
    <row r="235" spans="2:10" ht="30" x14ac:dyDescent="0.2">
      <c r="B235" s="57"/>
      <c r="C235" s="57"/>
      <c r="D235" s="95" t="s">
        <v>24</v>
      </c>
      <c r="E235" s="40" t="s">
        <v>198</v>
      </c>
      <c r="F235" s="45" t="s">
        <v>360</v>
      </c>
      <c r="G235" s="60" t="s">
        <v>861</v>
      </c>
      <c r="H235" s="59" t="s">
        <v>860</v>
      </c>
      <c r="I235" s="46">
        <f>129600+10000+129600+10000</f>
        <v>279200</v>
      </c>
      <c r="J235" s="56" t="s">
        <v>619</v>
      </c>
    </row>
    <row r="236" spans="2:10" ht="30" x14ac:dyDescent="0.2">
      <c r="B236" s="57"/>
      <c r="C236" s="57"/>
      <c r="D236" s="95" t="s">
        <v>405</v>
      </c>
      <c r="E236" s="40" t="s">
        <v>198</v>
      </c>
      <c r="F236" s="45" t="s">
        <v>361</v>
      </c>
      <c r="I236" s="46">
        <f>165000+10000</f>
        <v>175000</v>
      </c>
      <c r="J236" s="56" t="s">
        <v>859</v>
      </c>
    </row>
    <row r="237" spans="2:10" ht="45" x14ac:dyDescent="0.2">
      <c r="B237" s="57"/>
      <c r="C237" s="57"/>
      <c r="D237" s="95" t="s">
        <v>38</v>
      </c>
      <c r="E237" s="40" t="s">
        <v>198</v>
      </c>
      <c r="F237" s="45" t="s">
        <v>362</v>
      </c>
      <c r="I237" s="46">
        <f>213600+204580+213600+204580</f>
        <v>836360</v>
      </c>
      <c r="J237" s="56" t="s">
        <v>858</v>
      </c>
    </row>
    <row r="238" spans="2:10" ht="45" x14ac:dyDescent="0.2">
      <c r="B238" s="57"/>
      <c r="C238" s="57"/>
      <c r="D238" s="95" t="s">
        <v>406</v>
      </c>
      <c r="E238" s="40" t="s">
        <v>198</v>
      </c>
      <c r="F238" s="45" t="s">
        <v>363</v>
      </c>
      <c r="I238" s="46">
        <f>288000+71676</f>
        <v>359676</v>
      </c>
      <c r="J238" s="56" t="s">
        <v>857</v>
      </c>
    </row>
    <row r="239" spans="2:10" ht="45" x14ac:dyDescent="0.2">
      <c r="B239" s="57"/>
      <c r="C239" s="57"/>
      <c r="D239" s="95" t="s">
        <v>24</v>
      </c>
      <c r="E239" s="40" t="s">
        <v>198</v>
      </c>
      <c r="F239" s="45" t="s">
        <v>364</v>
      </c>
      <c r="I239" s="46">
        <f>67680+5000+64800+5000</f>
        <v>142480</v>
      </c>
      <c r="J239" s="56" t="s">
        <v>856</v>
      </c>
    </row>
    <row r="240" spans="2:10" ht="30" x14ac:dyDescent="0.2">
      <c r="B240" s="57"/>
      <c r="C240" s="57"/>
      <c r="D240" s="95" t="s">
        <v>280</v>
      </c>
      <c r="E240" s="40" t="s">
        <v>198</v>
      </c>
      <c r="F240" s="45" t="s">
        <v>365</v>
      </c>
      <c r="I240" s="46">
        <f>129600+10000+63869+201600+10000</f>
        <v>415069</v>
      </c>
      <c r="J240" s="56" t="s">
        <v>855</v>
      </c>
    </row>
    <row r="241" spans="2:14" ht="30" x14ac:dyDescent="0.2">
      <c r="B241" s="57"/>
      <c r="C241" s="57"/>
      <c r="D241" s="95" t="s">
        <v>218</v>
      </c>
      <c r="E241" s="40" t="s">
        <v>198</v>
      </c>
      <c r="F241" s="45" t="s">
        <v>366</v>
      </c>
      <c r="I241" s="46">
        <f>368400+206752</f>
        <v>575152</v>
      </c>
      <c r="J241" s="56" t="s">
        <v>854</v>
      </c>
    </row>
    <row r="242" spans="2:14" ht="30" x14ac:dyDescent="0.2">
      <c r="B242" s="57"/>
      <c r="C242" s="57"/>
      <c r="D242" s="95" t="s">
        <v>407</v>
      </c>
      <c r="E242" s="40" t="s">
        <v>198</v>
      </c>
      <c r="F242" s="45" t="s">
        <v>367</v>
      </c>
      <c r="I242" s="46">
        <f>21600+18580</f>
        <v>40180</v>
      </c>
      <c r="J242" s="56" t="s">
        <v>853</v>
      </c>
      <c r="N242" s="1" t="s">
        <v>703</v>
      </c>
    </row>
    <row r="243" spans="2:14" ht="45" x14ac:dyDescent="0.2">
      <c r="B243" s="57"/>
      <c r="C243" s="57"/>
      <c r="D243" s="95" t="s">
        <v>408</v>
      </c>
      <c r="E243" s="40" t="s">
        <v>198</v>
      </c>
      <c r="F243" s="45" t="s">
        <v>368</v>
      </c>
      <c r="I243" s="46">
        <f>162000+206515</f>
        <v>368515</v>
      </c>
      <c r="J243" s="56" t="s">
        <v>852</v>
      </c>
    </row>
    <row r="244" spans="2:14" ht="45" x14ac:dyDescent="0.2">
      <c r="B244" s="57"/>
      <c r="C244" s="57"/>
      <c r="D244" s="95" t="s">
        <v>256</v>
      </c>
      <c r="E244" s="40" t="s">
        <v>198</v>
      </c>
      <c r="F244" s="45" t="s">
        <v>369</v>
      </c>
      <c r="I244" s="46">
        <f>534060+3617250</f>
        <v>4151310</v>
      </c>
      <c r="J244" s="56" t="s">
        <v>851</v>
      </c>
    </row>
    <row r="245" spans="2:14" ht="45" x14ac:dyDescent="0.2">
      <c r="B245" s="57"/>
      <c r="C245" s="57"/>
      <c r="D245" s="95" t="s">
        <v>409</v>
      </c>
      <c r="E245" s="40" t="s">
        <v>198</v>
      </c>
      <c r="F245" s="45" t="s">
        <v>370</v>
      </c>
      <c r="I245" s="46">
        <f>201600+524653</f>
        <v>726253</v>
      </c>
      <c r="J245" s="56" t="s">
        <v>850</v>
      </c>
    </row>
    <row r="246" spans="2:14" ht="30" x14ac:dyDescent="0.2">
      <c r="B246" s="57"/>
      <c r="C246" s="57"/>
      <c r="D246" s="95" t="s">
        <v>410</v>
      </c>
      <c r="E246" s="40" t="s">
        <v>198</v>
      </c>
      <c r="F246" s="45" t="s">
        <v>371</v>
      </c>
      <c r="I246" s="46">
        <f>381600+188814</f>
        <v>570414</v>
      </c>
      <c r="J246" s="56" t="s">
        <v>849</v>
      </c>
    </row>
    <row r="247" spans="2:14" ht="45" x14ac:dyDescent="0.2">
      <c r="B247" s="57"/>
      <c r="C247" s="57"/>
      <c r="D247" s="95" t="s">
        <v>280</v>
      </c>
      <c r="E247" s="40" t="s">
        <v>198</v>
      </c>
      <c r="F247" s="45" t="s">
        <v>372</v>
      </c>
      <c r="I247" s="46">
        <f>201600+493798</f>
        <v>695398</v>
      </c>
      <c r="J247" s="56" t="s">
        <v>848</v>
      </c>
    </row>
    <row r="248" spans="2:14" ht="30" x14ac:dyDescent="0.2">
      <c r="B248" s="57"/>
      <c r="C248" s="57"/>
      <c r="D248" s="43" t="s">
        <v>411</v>
      </c>
      <c r="E248" s="41" t="s">
        <v>203</v>
      </c>
      <c r="F248" s="38" t="s">
        <v>171</v>
      </c>
      <c r="G248" s="67" t="s">
        <v>592</v>
      </c>
      <c r="H248" s="66" t="s">
        <v>591</v>
      </c>
      <c r="I248" s="46">
        <f>194400+15000</f>
        <v>209400</v>
      </c>
      <c r="J248" s="56" t="s">
        <v>847</v>
      </c>
    </row>
    <row r="249" spans="2:14" ht="26" x14ac:dyDescent="0.2">
      <c r="B249" s="57"/>
      <c r="C249" s="57"/>
      <c r="D249" s="38" t="s">
        <v>24</v>
      </c>
      <c r="E249" s="41" t="s">
        <v>209</v>
      </c>
      <c r="F249" s="38" t="s">
        <v>172</v>
      </c>
      <c r="G249" s="60" t="s">
        <v>589</v>
      </c>
      <c r="H249" s="59" t="s">
        <v>588</v>
      </c>
      <c r="I249" s="46">
        <f>259200+740800</f>
        <v>1000000</v>
      </c>
      <c r="J249" s="56" t="s">
        <v>587</v>
      </c>
    </row>
    <row r="250" spans="2:14" ht="26" x14ac:dyDescent="0.2">
      <c r="B250" s="57"/>
      <c r="C250" s="57"/>
      <c r="D250" s="43" t="s">
        <v>288</v>
      </c>
      <c r="E250" s="41" t="s">
        <v>209</v>
      </c>
      <c r="F250" s="38" t="s">
        <v>173</v>
      </c>
      <c r="G250" s="62" t="s">
        <v>586</v>
      </c>
      <c r="H250" s="59" t="s">
        <v>585</v>
      </c>
      <c r="I250" s="46">
        <f>50000+300000</f>
        <v>350000</v>
      </c>
      <c r="J250" s="56" t="s">
        <v>846</v>
      </c>
    </row>
    <row r="251" spans="2:14" ht="39" x14ac:dyDescent="0.2">
      <c r="B251" s="57"/>
      <c r="C251" s="57"/>
      <c r="D251" s="43" t="s">
        <v>289</v>
      </c>
      <c r="E251" s="41" t="s">
        <v>210</v>
      </c>
      <c r="F251" s="38" t="s">
        <v>174</v>
      </c>
      <c r="G251" s="62" t="s">
        <v>583</v>
      </c>
      <c r="H251" s="68">
        <v>41613</v>
      </c>
      <c r="I251" s="46">
        <v>300000</v>
      </c>
      <c r="J251" s="56" t="s">
        <v>546</v>
      </c>
    </row>
    <row r="252" spans="2:14" ht="45" x14ac:dyDescent="0.2">
      <c r="B252" s="57"/>
      <c r="C252" s="57"/>
      <c r="D252" s="44" t="s">
        <v>22</v>
      </c>
      <c r="E252" s="41" t="s">
        <v>203</v>
      </c>
      <c r="F252" s="38" t="s">
        <v>373</v>
      </c>
      <c r="I252" s="46">
        <f>337680+10000+175140+5000</f>
        <v>527820</v>
      </c>
      <c r="J252" s="56" t="s">
        <v>845</v>
      </c>
    </row>
    <row r="253" spans="2:14" ht="30" x14ac:dyDescent="0.2">
      <c r="B253" s="57"/>
      <c r="C253" s="57"/>
      <c r="D253" s="43" t="s">
        <v>234</v>
      </c>
      <c r="E253" s="41"/>
      <c r="F253" s="38" t="s">
        <v>374</v>
      </c>
      <c r="I253" s="46">
        <f>15000+15000+15000+60000+15000+10000+4000+10000+10000</f>
        <v>154000</v>
      </c>
      <c r="J253" s="56" t="s">
        <v>844</v>
      </c>
    </row>
    <row r="254" spans="2:14" ht="26" x14ac:dyDescent="0.2">
      <c r="B254" s="57"/>
      <c r="C254" s="57"/>
      <c r="D254" s="43" t="s">
        <v>294</v>
      </c>
      <c r="E254" s="41" t="s">
        <v>209</v>
      </c>
      <c r="F254" s="38" t="s">
        <v>181</v>
      </c>
      <c r="G254" s="67" t="s">
        <v>843</v>
      </c>
      <c r="H254" s="66" t="s">
        <v>842</v>
      </c>
      <c r="I254" s="46">
        <f>420000+380000</f>
        <v>800000</v>
      </c>
      <c r="J254" s="56" t="s">
        <v>631</v>
      </c>
    </row>
    <row r="255" spans="2:14" ht="30" x14ac:dyDescent="0.2">
      <c r="B255" s="57"/>
      <c r="C255" s="57"/>
      <c r="D255" s="43" t="s">
        <v>234</v>
      </c>
      <c r="E255" s="41" t="s">
        <v>392</v>
      </c>
      <c r="F255" s="38" t="s">
        <v>375</v>
      </c>
      <c r="I255" s="46">
        <f>230400+15000</f>
        <v>245400</v>
      </c>
      <c r="J255" s="56" t="s">
        <v>841</v>
      </c>
    </row>
    <row r="256" spans="2:14" ht="26" x14ac:dyDescent="0.2">
      <c r="B256" s="57"/>
      <c r="C256" s="57"/>
      <c r="D256" s="43" t="s">
        <v>24</v>
      </c>
      <c r="E256" s="41" t="s">
        <v>210</v>
      </c>
      <c r="F256" s="38" t="s">
        <v>376</v>
      </c>
      <c r="I256" s="46">
        <f>250000+240000+240000</f>
        <v>730000</v>
      </c>
      <c r="J256" s="56" t="s">
        <v>840</v>
      </c>
    </row>
    <row r="257" spans="2:10" ht="30" x14ac:dyDescent="0.2">
      <c r="B257" s="57"/>
      <c r="C257" s="57"/>
      <c r="D257" s="43" t="s">
        <v>291</v>
      </c>
      <c r="E257" s="41" t="s">
        <v>210</v>
      </c>
      <c r="F257" s="38" t="s">
        <v>377</v>
      </c>
      <c r="I257" s="46">
        <f>240000+740000</f>
        <v>980000</v>
      </c>
      <c r="J257" s="56" t="s">
        <v>839</v>
      </c>
    </row>
    <row r="258" spans="2:10" ht="30" x14ac:dyDescent="0.2">
      <c r="B258" s="57"/>
      <c r="C258" s="57"/>
      <c r="D258" s="43" t="s">
        <v>292</v>
      </c>
      <c r="E258" s="41" t="s">
        <v>393</v>
      </c>
      <c r="F258" s="38" t="s">
        <v>378</v>
      </c>
      <c r="I258" s="46">
        <v>372600</v>
      </c>
      <c r="J258" s="56" t="s">
        <v>838</v>
      </c>
    </row>
    <row r="259" spans="2:10" ht="45" x14ac:dyDescent="0.2">
      <c r="B259" s="57"/>
      <c r="C259" s="57"/>
      <c r="D259" s="43" t="s">
        <v>292</v>
      </c>
      <c r="E259" s="41" t="s">
        <v>212</v>
      </c>
      <c r="F259" s="38" t="s">
        <v>379</v>
      </c>
      <c r="I259" s="46">
        <f>172000+404139+100000+276139</f>
        <v>952278</v>
      </c>
      <c r="J259" s="56" t="s">
        <v>837</v>
      </c>
    </row>
    <row r="260" spans="2:10" ht="45" x14ac:dyDescent="0.2">
      <c r="B260" s="57"/>
      <c r="C260" s="57"/>
      <c r="D260" s="43" t="s">
        <v>292</v>
      </c>
      <c r="E260" s="41" t="s">
        <v>212</v>
      </c>
      <c r="F260" s="38" t="s">
        <v>380</v>
      </c>
      <c r="I260" s="46">
        <v>576139</v>
      </c>
      <c r="J260" s="56" t="s">
        <v>836</v>
      </c>
    </row>
    <row r="261" spans="2:10" ht="30" x14ac:dyDescent="0.2">
      <c r="B261" s="57"/>
      <c r="C261" s="57"/>
      <c r="D261" s="43" t="s">
        <v>292</v>
      </c>
      <c r="E261" s="41"/>
      <c r="F261" s="38" t="s">
        <v>381</v>
      </c>
      <c r="I261" s="46">
        <v>1033500</v>
      </c>
      <c r="J261" s="56" t="s">
        <v>835</v>
      </c>
    </row>
    <row r="262" spans="2:10" ht="45" x14ac:dyDescent="0.2">
      <c r="B262" s="57"/>
      <c r="C262" s="57"/>
      <c r="D262" s="43" t="s">
        <v>292</v>
      </c>
      <c r="E262" s="41" t="s">
        <v>212</v>
      </c>
      <c r="F262" s="38" t="s">
        <v>382</v>
      </c>
      <c r="I262" s="46">
        <f>186560+4096525</f>
        <v>4283085</v>
      </c>
      <c r="J262" s="56" t="s">
        <v>834</v>
      </c>
    </row>
    <row r="263" spans="2:10" ht="45" x14ac:dyDescent="0.2">
      <c r="B263" s="57"/>
      <c r="C263" s="57"/>
      <c r="D263" s="43" t="s">
        <v>292</v>
      </c>
      <c r="E263" s="41"/>
      <c r="F263" s="38" t="s">
        <v>383</v>
      </c>
      <c r="I263" s="46">
        <v>353200</v>
      </c>
      <c r="J263" s="56" t="s">
        <v>833</v>
      </c>
    </row>
    <row r="264" spans="2:10" ht="45" x14ac:dyDescent="0.2">
      <c r="B264" s="57"/>
      <c r="C264" s="57"/>
      <c r="D264" s="38" t="s">
        <v>412</v>
      </c>
      <c r="E264" s="41" t="s">
        <v>210</v>
      </c>
      <c r="F264" s="38" t="s">
        <v>384</v>
      </c>
      <c r="I264" s="46">
        <v>145365</v>
      </c>
      <c r="J264" s="56" t="s">
        <v>832</v>
      </c>
    </row>
    <row r="265" spans="2:10" x14ac:dyDescent="0.2">
      <c r="B265" s="57"/>
      <c r="C265" s="57"/>
      <c r="D265" s="38" t="s">
        <v>413</v>
      </c>
      <c r="E265" s="41" t="s">
        <v>210</v>
      </c>
      <c r="F265" s="38" t="s">
        <v>384</v>
      </c>
      <c r="I265" s="46">
        <v>60000</v>
      </c>
      <c r="J265" s="56" t="s">
        <v>831</v>
      </c>
    </row>
    <row r="266" spans="2:10" ht="27" x14ac:dyDescent="0.2">
      <c r="B266" s="57"/>
      <c r="C266" s="57"/>
      <c r="D266" s="45" t="s">
        <v>25</v>
      </c>
      <c r="E266" s="42" t="s">
        <v>394</v>
      </c>
      <c r="F266" s="39" t="s">
        <v>16</v>
      </c>
      <c r="I266" s="46">
        <v>100000</v>
      </c>
      <c r="J266" s="56" t="s">
        <v>830</v>
      </c>
    </row>
    <row r="267" spans="2:10" x14ac:dyDescent="0.2">
      <c r="B267" s="57"/>
      <c r="C267" s="57"/>
      <c r="D267" s="95" t="s">
        <v>217</v>
      </c>
      <c r="E267" s="40" t="s">
        <v>199</v>
      </c>
      <c r="F267" s="45" t="s">
        <v>385</v>
      </c>
      <c r="I267" s="46">
        <v>16000</v>
      </c>
      <c r="J267" s="56" t="s">
        <v>818</v>
      </c>
    </row>
    <row r="268" spans="2:10" ht="27" x14ac:dyDescent="0.2">
      <c r="B268" s="57"/>
      <c r="C268" s="57"/>
      <c r="D268" s="95" t="s">
        <v>19</v>
      </c>
      <c r="E268" s="40" t="s">
        <v>199</v>
      </c>
      <c r="F268" s="45" t="s">
        <v>117</v>
      </c>
      <c r="G268" s="65" t="s">
        <v>575</v>
      </c>
      <c r="H268" s="59" t="s">
        <v>574</v>
      </c>
      <c r="I268" s="46">
        <v>5000</v>
      </c>
      <c r="J268" s="56" t="s">
        <v>829</v>
      </c>
    </row>
    <row r="269" spans="2:10" ht="40" x14ac:dyDescent="0.2">
      <c r="B269" s="57"/>
      <c r="C269" s="57"/>
      <c r="D269" s="95" t="s">
        <v>414</v>
      </c>
      <c r="E269" s="40" t="s">
        <v>199</v>
      </c>
      <c r="F269" s="45" t="s">
        <v>386</v>
      </c>
      <c r="I269" s="46">
        <v>16000</v>
      </c>
      <c r="J269" s="56" t="s">
        <v>828</v>
      </c>
    </row>
    <row r="270" spans="2:10" ht="40" x14ac:dyDescent="0.2">
      <c r="B270" s="57"/>
      <c r="C270" s="57"/>
      <c r="D270" s="95" t="s">
        <v>415</v>
      </c>
      <c r="E270" s="40" t="s">
        <v>199</v>
      </c>
      <c r="F270" s="45" t="s">
        <v>387</v>
      </c>
      <c r="I270" s="46">
        <f>176000+60000</f>
        <v>236000</v>
      </c>
      <c r="J270" s="56" t="s">
        <v>827</v>
      </c>
    </row>
    <row r="271" spans="2:10" ht="30" x14ac:dyDescent="0.2">
      <c r="B271" s="57"/>
      <c r="C271" s="57"/>
      <c r="D271" s="95" t="s">
        <v>416</v>
      </c>
      <c r="E271" s="40" t="s">
        <v>199</v>
      </c>
      <c r="F271" s="45" t="s">
        <v>388</v>
      </c>
      <c r="I271" s="46">
        <f>198000+100000</f>
        <v>298000</v>
      </c>
      <c r="J271" s="56" t="s">
        <v>817</v>
      </c>
    </row>
    <row r="272" spans="2:10" ht="40" x14ac:dyDescent="0.2">
      <c r="B272" s="57"/>
      <c r="C272" s="57"/>
      <c r="D272" s="95" t="s">
        <v>18</v>
      </c>
      <c r="E272" s="40" t="s">
        <v>199</v>
      </c>
      <c r="F272" s="45" t="s">
        <v>389</v>
      </c>
      <c r="I272" s="46">
        <v>18000</v>
      </c>
      <c r="J272" s="56" t="s">
        <v>826</v>
      </c>
    </row>
    <row r="273" spans="2:10" ht="27" x14ac:dyDescent="0.2">
      <c r="B273" s="57"/>
      <c r="C273" s="57"/>
      <c r="D273" s="95" t="s">
        <v>38</v>
      </c>
      <c r="E273" s="40" t="s">
        <v>199</v>
      </c>
      <c r="F273" s="45" t="s">
        <v>390</v>
      </c>
      <c r="G273" s="60" t="s">
        <v>564</v>
      </c>
      <c r="H273" s="59" t="s">
        <v>563</v>
      </c>
      <c r="I273" s="46">
        <v>18000</v>
      </c>
      <c r="J273" s="56" t="s">
        <v>826</v>
      </c>
    </row>
    <row r="274" spans="2:10" ht="30" x14ac:dyDescent="0.2">
      <c r="B274" s="57"/>
      <c r="C274" s="57"/>
      <c r="D274" s="95" t="s">
        <v>257</v>
      </c>
      <c r="E274" s="40" t="s">
        <v>199</v>
      </c>
      <c r="F274" s="45" t="s">
        <v>118</v>
      </c>
      <c r="G274" s="60" t="s">
        <v>564</v>
      </c>
      <c r="H274" s="59" t="s">
        <v>563</v>
      </c>
      <c r="I274" s="46">
        <f>198000+100000</f>
        <v>298000</v>
      </c>
      <c r="J274" s="56" t="s">
        <v>817</v>
      </c>
    </row>
    <row r="275" spans="2:10" ht="30" x14ac:dyDescent="0.2">
      <c r="B275" s="57"/>
      <c r="C275" s="57"/>
      <c r="D275" s="95" t="s">
        <v>291</v>
      </c>
      <c r="E275" s="40" t="s">
        <v>199</v>
      </c>
      <c r="F275" s="45" t="s">
        <v>391</v>
      </c>
      <c r="I275" s="46">
        <f>215661+100000</f>
        <v>315661</v>
      </c>
      <c r="J275" s="56" t="s">
        <v>825</v>
      </c>
    </row>
    <row r="276" spans="2:10" ht="30" x14ac:dyDescent="0.2">
      <c r="B276" s="57"/>
      <c r="C276" s="57"/>
      <c r="D276" s="95" t="s">
        <v>258</v>
      </c>
      <c r="E276" s="40" t="s">
        <v>199</v>
      </c>
      <c r="F276" s="45" t="s">
        <v>119</v>
      </c>
      <c r="G276" s="64" t="s">
        <v>561</v>
      </c>
      <c r="H276" s="59" t="s">
        <v>560</v>
      </c>
      <c r="I276" s="46">
        <f>181678+100000</f>
        <v>281678</v>
      </c>
      <c r="J276" s="56" t="s">
        <v>824</v>
      </c>
    </row>
    <row r="277" spans="2:10" ht="30" x14ac:dyDescent="0.2">
      <c r="B277" s="57"/>
      <c r="C277" s="57"/>
      <c r="D277" s="95" t="s">
        <v>259</v>
      </c>
      <c r="E277" s="40" t="s">
        <v>199</v>
      </c>
      <c r="F277" s="45" t="s">
        <v>120</v>
      </c>
      <c r="G277" s="64" t="s">
        <v>557</v>
      </c>
      <c r="H277" s="59" t="s">
        <v>556</v>
      </c>
      <c r="I277" s="46">
        <f>216000+100000+198000+100000</f>
        <v>614000</v>
      </c>
      <c r="J277" s="56" t="s">
        <v>823</v>
      </c>
    </row>
    <row r="278" spans="2:10" ht="45" x14ac:dyDescent="0.2">
      <c r="B278" s="57"/>
      <c r="C278" s="57"/>
      <c r="D278" s="95" t="s">
        <v>38</v>
      </c>
      <c r="E278" s="40" t="s">
        <v>199</v>
      </c>
      <c r="F278" s="45" t="s">
        <v>121</v>
      </c>
      <c r="G278" s="64" t="s">
        <v>555</v>
      </c>
      <c r="H278" s="59" t="s">
        <v>554</v>
      </c>
      <c r="I278" s="46">
        <f>198000+99884</f>
        <v>297884</v>
      </c>
      <c r="J278" s="56" t="s">
        <v>822</v>
      </c>
    </row>
    <row r="279" spans="2:10" ht="30" x14ac:dyDescent="0.2">
      <c r="B279" s="57"/>
      <c r="C279" s="57"/>
      <c r="D279" s="95" t="s">
        <v>260</v>
      </c>
      <c r="E279" s="40" t="s">
        <v>199</v>
      </c>
      <c r="F279" s="45" t="s">
        <v>122</v>
      </c>
      <c r="G279" s="62" t="s">
        <v>552</v>
      </c>
      <c r="H279" s="59" t="s">
        <v>551</v>
      </c>
      <c r="I279" s="46">
        <f>216000+150000+198000+150000</f>
        <v>714000</v>
      </c>
      <c r="J279" s="56" t="s">
        <v>821</v>
      </c>
    </row>
    <row r="280" spans="2:10" ht="30" x14ac:dyDescent="0.2">
      <c r="B280" s="57"/>
      <c r="C280" s="57"/>
      <c r="D280" s="95" t="s">
        <v>35</v>
      </c>
      <c r="E280" s="40" t="s">
        <v>199</v>
      </c>
      <c r="F280" s="45" t="s">
        <v>123</v>
      </c>
      <c r="G280" s="62" t="s">
        <v>549</v>
      </c>
      <c r="H280" s="59" t="s">
        <v>535</v>
      </c>
      <c r="I280" s="46">
        <v>198000</v>
      </c>
      <c r="J280" s="56" t="s">
        <v>820</v>
      </c>
    </row>
    <row r="281" spans="2:10" ht="45" x14ac:dyDescent="0.2">
      <c r="B281" s="57"/>
      <c r="C281" s="57"/>
      <c r="D281" s="95" t="s">
        <v>28</v>
      </c>
      <c r="E281" s="40" t="s">
        <v>199</v>
      </c>
      <c r="F281" s="45" t="s">
        <v>124</v>
      </c>
      <c r="G281" s="62" t="s">
        <v>547</v>
      </c>
      <c r="H281" s="59" t="s">
        <v>535</v>
      </c>
      <c r="I281" s="46">
        <f>299802+17345</f>
        <v>317147</v>
      </c>
      <c r="J281" s="56" t="s">
        <v>819</v>
      </c>
    </row>
    <row r="282" spans="2:10" ht="40" x14ac:dyDescent="0.2">
      <c r="B282" s="57"/>
      <c r="C282" s="57"/>
      <c r="D282" s="95" t="s">
        <v>23</v>
      </c>
      <c r="E282" s="40" t="s">
        <v>199</v>
      </c>
      <c r="F282" s="45" t="s">
        <v>125</v>
      </c>
      <c r="G282" s="63" t="s">
        <v>545</v>
      </c>
      <c r="H282" s="59" t="s">
        <v>535</v>
      </c>
      <c r="I282" s="46">
        <v>16000</v>
      </c>
      <c r="J282" s="56" t="s">
        <v>818</v>
      </c>
    </row>
    <row r="283" spans="2:10" ht="30" x14ac:dyDescent="0.2">
      <c r="B283" s="57"/>
      <c r="C283" s="57"/>
      <c r="D283" s="95" t="s">
        <v>33</v>
      </c>
      <c r="E283" s="40" t="s">
        <v>199</v>
      </c>
      <c r="F283" s="45" t="s">
        <v>126</v>
      </c>
      <c r="G283" s="63" t="s">
        <v>543</v>
      </c>
      <c r="H283" s="59" t="s">
        <v>542</v>
      </c>
      <c r="I283" s="46">
        <f>198000+100000</f>
        <v>298000</v>
      </c>
      <c r="J283" s="56" t="s">
        <v>817</v>
      </c>
    </row>
    <row r="284" spans="2:10" ht="30" x14ac:dyDescent="0.2">
      <c r="B284" s="57"/>
      <c r="C284" s="57"/>
      <c r="D284" s="95" t="s">
        <v>261</v>
      </c>
      <c r="E284" s="40" t="s">
        <v>199</v>
      </c>
      <c r="F284" s="45" t="s">
        <v>127</v>
      </c>
      <c r="G284" s="63" t="s">
        <v>540</v>
      </c>
      <c r="H284" s="59" t="s">
        <v>539</v>
      </c>
      <c r="I284" s="46">
        <f>198000+150000</f>
        <v>348000</v>
      </c>
      <c r="J284" s="56" t="s">
        <v>816</v>
      </c>
    </row>
    <row r="285" spans="2:10" ht="30" x14ac:dyDescent="0.2">
      <c r="B285" s="57"/>
      <c r="C285" s="57"/>
      <c r="D285" s="95" t="s">
        <v>262</v>
      </c>
      <c r="E285" s="40" t="s">
        <v>199</v>
      </c>
      <c r="F285" s="45" t="s">
        <v>128</v>
      </c>
      <c r="G285" s="62" t="s">
        <v>536</v>
      </c>
      <c r="H285" s="61" t="s">
        <v>535</v>
      </c>
      <c r="I285" s="46">
        <f>216000+100000+202645</f>
        <v>518645</v>
      </c>
      <c r="J285" s="56" t="s">
        <v>815</v>
      </c>
    </row>
    <row r="286" spans="2:10" ht="29" x14ac:dyDescent="0.2">
      <c r="B286" s="58">
        <v>3</v>
      </c>
      <c r="C286" s="57" t="s">
        <v>14</v>
      </c>
      <c r="D286" s="12" t="s">
        <v>225</v>
      </c>
      <c r="E286" s="11" t="s">
        <v>198</v>
      </c>
      <c r="F286" s="13" t="s">
        <v>447</v>
      </c>
      <c r="I286" s="48">
        <v>0</v>
      </c>
      <c r="J286" s="56"/>
    </row>
    <row r="287" spans="2:10" x14ac:dyDescent="0.2">
      <c r="B287" s="58"/>
      <c r="C287" s="57"/>
      <c r="D287" s="12" t="s">
        <v>234</v>
      </c>
      <c r="E287" s="11" t="s">
        <v>198</v>
      </c>
      <c r="F287" s="13" t="s">
        <v>73</v>
      </c>
      <c r="I287" s="48">
        <f>500000+400000+100000+300000+200000+400000+200000+500000+300000</f>
        <v>2900000</v>
      </c>
      <c r="J287" s="56" t="s">
        <v>814</v>
      </c>
    </row>
    <row r="288" spans="2:10" ht="45" x14ac:dyDescent="0.2">
      <c r="B288" s="58"/>
      <c r="C288" s="57"/>
      <c r="D288" s="47" t="s">
        <v>28</v>
      </c>
      <c r="E288" s="11" t="s">
        <v>198</v>
      </c>
      <c r="F288" s="39" t="s">
        <v>448</v>
      </c>
      <c r="I288" s="48">
        <f>418542+33802+278022+33802+130826</f>
        <v>894994</v>
      </c>
      <c r="J288" s="56" t="s">
        <v>813</v>
      </c>
    </row>
    <row r="289" spans="2:10" ht="45" x14ac:dyDescent="0.2">
      <c r="B289" s="58"/>
      <c r="C289" s="57"/>
      <c r="D289" s="12" t="s">
        <v>26</v>
      </c>
      <c r="E289" s="11" t="s">
        <v>198</v>
      </c>
      <c r="F289" s="13" t="s">
        <v>304</v>
      </c>
      <c r="G289" s="67" t="s">
        <v>812</v>
      </c>
      <c r="H289" s="59" t="s">
        <v>811</v>
      </c>
      <c r="I289" s="48">
        <f>1600000+100000+549+178117+1134987+60000</f>
        <v>3073653</v>
      </c>
      <c r="J289" s="56" t="s">
        <v>810</v>
      </c>
    </row>
    <row r="290" spans="2:10" ht="29" x14ac:dyDescent="0.2">
      <c r="B290" s="58"/>
      <c r="C290" s="57"/>
      <c r="D290" s="12" t="s">
        <v>422</v>
      </c>
      <c r="E290" s="11" t="s">
        <v>198</v>
      </c>
      <c r="F290" s="13" t="s">
        <v>449</v>
      </c>
      <c r="I290" s="48">
        <v>50000</v>
      </c>
      <c r="J290" s="56" t="s">
        <v>809</v>
      </c>
    </row>
    <row r="291" spans="2:10" ht="29" x14ac:dyDescent="0.2">
      <c r="B291" s="58"/>
      <c r="C291" s="57"/>
      <c r="D291" s="12" t="s">
        <v>225</v>
      </c>
      <c r="E291" s="11" t="s">
        <v>198</v>
      </c>
      <c r="F291" s="13" t="s">
        <v>450</v>
      </c>
      <c r="I291" s="48">
        <v>0</v>
      </c>
      <c r="J291" s="56"/>
    </row>
    <row r="292" spans="2:10" ht="43" x14ac:dyDescent="0.2">
      <c r="B292" s="58"/>
      <c r="C292" s="57"/>
      <c r="D292" s="12" t="s">
        <v>276</v>
      </c>
      <c r="E292" s="11" t="s">
        <v>198</v>
      </c>
      <c r="F292" s="13" t="s">
        <v>307</v>
      </c>
      <c r="I292" s="48">
        <v>0</v>
      </c>
      <c r="J292" s="56"/>
    </row>
    <row r="293" spans="2:10" ht="30" x14ac:dyDescent="0.2">
      <c r="B293" s="58"/>
      <c r="C293" s="57"/>
      <c r="D293" s="12" t="s">
        <v>231</v>
      </c>
      <c r="E293" s="11" t="s">
        <v>198</v>
      </c>
      <c r="F293" s="13" t="s">
        <v>451</v>
      </c>
      <c r="I293" s="48">
        <v>109576</v>
      </c>
      <c r="J293" s="56" t="s">
        <v>808</v>
      </c>
    </row>
    <row r="294" spans="2:10" ht="29" x14ac:dyDescent="0.2">
      <c r="B294" s="58"/>
      <c r="C294" s="57"/>
      <c r="D294" s="12" t="s">
        <v>231</v>
      </c>
      <c r="E294" s="11" t="s">
        <v>198</v>
      </c>
      <c r="F294" s="39" t="s">
        <v>452</v>
      </c>
      <c r="I294" s="48">
        <v>0</v>
      </c>
      <c r="J294" s="56"/>
    </row>
    <row r="295" spans="2:10" ht="30" x14ac:dyDescent="0.2">
      <c r="B295" s="58"/>
      <c r="C295" s="57"/>
      <c r="D295" s="12" t="s">
        <v>221</v>
      </c>
      <c r="E295" s="11" t="s">
        <v>198</v>
      </c>
      <c r="F295" s="9" t="s">
        <v>453</v>
      </c>
      <c r="I295" s="48">
        <f>288000+20000</f>
        <v>308000</v>
      </c>
      <c r="J295" s="56" t="s">
        <v>807</v>
      </c>
    </row>
    <row r="296" spans="2:10" ht="45" x14ac:dyDescent="0.2">
      <c r="B296" s="58"/>
      <c r="C296" s="57"/>
      <c r="D296" s="12" t="s">
        <v>404</v>
      </c>
      <c r="E296" s="11" t="s">
        <v>198</v>
      </c>
      <c r="F296" s="13" t="s">
        <v>349</v>
      </c>
      <c r="I296" s="48">
        <f>120000+8330</f>
        <v>128330</v>
      </c>
      <c r="J296" s="56" t="s">
        <v>806</v>
      </c>
    </row>
    <row r="297" spans="2:10" ht="45" x14ac:dyDescent="0.2">
      <c r="B297" s="58"/>
      <c r="C297" s="57"/>
      <c r="D297" s="12" t="s">
        <v>235</v>
      </c>
      <c r="E297" s="11" t="s">
        <v>198</v>
      </c>
      <c r="F297" s="39" t="s">
        <v>75</v>
      </c>
      <c r="G297" s="65" t="s">
        <v>805</v>
      </c>
      <c r="H297" s="59" t="s">
        <v>804</v>
      </c>
      <c r="I297" s="48">
        <f>2245140+1250000+2245140+1250000</f>
        <v>6990280</v>
      </c>
      <c r="J297" s="56" t="s">
        <v>803</v>
      </c>
    </row>
    <row r="298" spans="2:10" ht="45" x14ac:dyDescent="0.2">
      <c r="B298" s="58"/>
      <c r="C298" s="57"/>
      <c r="D298" s="12" t="s">
        <v>235</v>
      </c>
      <c r="E298" s="11" t="s">
        <v>198</v>
      </c>
      <c r="F298" s="39" t="s">
        <v>111</v>
      </c>
      <c r="G298" s="67" t="s">
        <v>802</v>
      </c>
      <c r="H298" s="59" t="s">
        <v>801</v>
      </c>
      <c r="I298" s="48">
        <f>1401200+2326471+1016431+1011675</f>
        <v>5755777</v>
      </c>
      <c r="J298" s="56" t="s">
        <v>800</v>
      </c>
    </row>
    <row r="299" spans="2:10" ht="30" x14ac:dyDescent="0.2">
      <c r="B299" s="58"/>
      <c r="C299" s="57"/>
      <c r="D299" s="12" t="s">
        <v>20</v>
      </c>
      <c r="E299" s="11" t="s">
        <v>198</v>
      </c>
      <c r="F299" s="39" t="s">
        <v>454</v>
      </c>
      <c r="I299" s="48">
        <f>769872+74208</f>
        <v>844080</v>
      </c>
      <c r="J299" s="56" t="s">
        <v>799</v>
      </c>
    </row>
    <row r="300" spans="2:10" ht="45" x14ac:dyDescent="0.2">
      <c r="B300" s="58"/>
      <c r="C300" s="57"/>
      <c r="D300" s="47" t="s">
        <v>236</v>
      </c>
      <c r="E300" s="11" t="s">
        <v>198</v>
      </c>
      <c r="F300" s="39" t="s">
        <v>455</v>
      </c>
      <c r="I300" s="48">
        <v>366267</v>
      </c>
      <c r="J300" s="56" t="s">
        <v>798</v>
      </c>
    </row>
    <row r="301" spans="2:10" ht="30" x14ac:dyDescent="0.2">
      <c r="B301" s="58"/>
      <c r="C301" s="57"/>
      <c r="D301" s="39" t="s">
        <v>24</v>
      </c>
      <c r="E301" s="11" t="s">
        <v>198</v>
      </c>
      <c r="F301" s="39" t="s">
        <v>310</v>
      </c>
      <c r="I301" s="48">
        <f>292864+97929+50141</f>
        <v>440934</v>
      </c>
      <c r="J301" s="56" t="s">
        <v>797</v>
      </c>
    </row>
    <row r="302" spans="2:10" ht="30" x14ac:dyDescent="0.2">
      <c r="B302" s="58"/>
      <c r="C302" s="57"/>
      <c r="D302" s="12" t="s">
        <v>38</v>
      </c>
      <c r="E302" s="11" t="s">
        <v>198</v>
      </c>
      <c r="F302" s="39" t="s">
        <v>456</v>
      </c>
      <c r="G302" s="65" t="s">
        <v>796</v>
      </c>
      <c r="H302" s="59" t="s">
        <v>795</v>
      </c>
      <c r="I302" s="48">
        <f>288000+347158</f>
        <v>635158</v>
      </c>
      <c r="J302" s="56" t="s">
        <v>794</v>
      </c>
    </row>
    <row r="303" spans="2:10" ht="30" x14ac:dyDescent="0.2">
      <c r="B303" s="58"/>
      <c r="C303" s="57"/>
      <c r="D303" s="12" t="s">
        <v>26</v>
      </c>
      <c r="E303" s="11" t="s">
        <v>198</v>
      </c>
      <c r="F303" s="39" t="s">
        <v>78</v>
      </c>
      <c r="G303" s="65" t="s">
        <v>793</v>
      </c>
      <c r="H303" s="59" t="s">
        <v>792</v>
      </c>
      <c r="I303" s="48">
        <f>89187+120680+144000+46325</f>
        <v>400192</v>
      </c>
      <c r="J303" s="56" t="s">
        <v>791</v>
      </c>
    </row>
    <row r="304" spans="2:10" ht="30" x14ac:dyDescent="0.2">
      <c r="B304" s="58"/>
      <c r="C304" s="57"/>
      <c r="D304" s="12" t="s">
        <v>217</v>
      </c>
      <c r="E304" s="11" t="s">
        <v>198</v>
      </c>
      <c r="F304" s="39" t="s">
        <v>457</v>
      </c>
      <c r="I304" s="48">
        <f>228041+230206+219648+246991+2004</f>
        <v>926890</v>
      </c>
      <c r="J304" s="56" t="s">
        <v>790</v>
      </c>
    </row>
    <row r="305" spans="2:10" ht="30" x14ac:dyDescent="0.2">
      <c r="B305" s="58"/>
      <c r="C305" s="57"/>
      <c r="D305" s="12" t="s">
        <v>31</v>
      </c>
      <c r="E305" s="11" t="s">
        <v>198</v>
      </c>
      <c r="F305" s="39" t="s">
        <v>458</v>
      </c>
      <c r="G305" s="65" t="s">
        <v>789</v>
      </c>
      <c r="H305" s="59" t="s">
        <v>788</v>
      </c>
      <c r="I305" s="48">
        <f>144000+10000+72000+5000</f>
        <v>231000</v>
      </c>
      <c r="J305" s="56" t="s">
        <v>787</v>
      </c>
    </row>
    <row r="306" spans="2:10" ht="30" x14ac:dyDescent="0.2">
      <c r="B306" s="58"/>
      <c r="C306" s="57"/>
      <c r="D306" s="12" t="s">
        <v>33</v>
      </c>
      <c r="E306" s="11" t="s">
        <v>198</v>
      </c>
      <c r="F306" s="39" t="s">
        <v>459</v>
      </c>
      <c r="G306" s="60" t="s">
        <v>786</v>
      </c>
      <c r="H306" s="59" t="s">
        <v>785</v>
      </c>
      <c r="I306" s="48">
        <f>391044+24247</f>
        <v>415291</v>
      </c>
      <c r="J306" s="56" t="s">
        <v>784</v>
      </c>
    </row>
    <row r="307" spans="2:10" ht="45" x14ac:dyDescent="0.2">
      <c r="B307" s="58"/>
      <c r="C307" s="57"/>
      <c r="D307" s="12" t="s">
        <v>218</v>
      </c>
      <c r="E307" s="11" t="s">
        <v>198</v>
      </c>
      <c r="F307" s="39" t="s">
        <v>460</v>
      </c>
      <c r="G307" s="65" t="s">
        <v>783</v>
      </c>
      <c r="H307" s="59" t="s">
        <v>782</v>
      </c>
      <c r="I307" s="48">
        <f>21600+1660+239845+16660</f>
        <v>279765</v>
      </c>
      <c r="J307" s="56" t="s">
        <v>781</v>
      </c>
    </row>
    <row r="308" spans="2:10" ht="45" x14ac:dyDescent="0.2">
      <c r="B308" s="58"/>
      <c r="C308" s="57"/>
      <c r="D308" s="12" t="s">
        <v>401</v>
      </c>
      <c r="E308" s="11" t="s">
        <v>198</v>
      </c>
      <c r="F308" s="39" t="s">
        <v>461</v>
      </c>
      <c r="I308" s="48">
        <f>179926+10000+165600+10000</f>
        <v>365526</v>
      </c>
      <c r="J308" s="56" t="s">
        <v>780</v>
      </c>
    </row>
    <row r="309" spans="2:10" ht="30" x14ac:dyDescent="0.2">
      <c r="B309" s="58"/>
      <c r="C309" s="57"/>
      <c r="D309" s="12" t="s">
        <v>220</v>
      </c>
      <c r="E309" s="11" t="s">
        <v>198</v>
      </c>
      <c r="F309" s="39" t="s">
        <v>462</v>
      </c>
      <c r="G309" s="60" t="s">
        <v>779</v>
      </c>
      <c r="H309" s="59" t="s">
        <v>778</v>
      </c>
      <c r="I309" s="48">
        <f>108000+8330+285600+20000</f>
        <v>421930</v>
      </c>
      <c r="J309" s="56" t="s">
        <v>777</v>
      </c>
    </row>
    <row r="310" spans="2:10" ht="30" x14ac:dyDescent="0.2">
      <c r="B310" s="58"/>
      <c r="C310" s="57"/>
      <c r="D310" s="12" t="s">
        <v>38</v>
      </c>
      <c r="E310" s="11" t="s">
        <v>198</v>
      </c>
      <c r="F310" s="39" t="s">
        <v>463</v>
      </c>
      <c r="I310" s="48">
        <f>141000+10000</f>
        <v>151000</v>
      </c>
      <c r="J310" s="56" t="s">
        <v>776</v>
      </c>
    </row>
    <row r="311" spans="2:10" ht="27" x14ac:dyDescent="0.2">
      <c r="B311" s="58"/>
      <c r="C311" s="57"/>
      <c r="D311" s="12" t="s">
        <v>237</v>
      </c>
      <c r="E311" s="11" t="s">
        <v>198</v>
      </c>
      <c r="F311" s="39" t="s">
        <v>81</v>
      </c>
      <c r="G311" s="60" t="s">
        <v>775</v>
      </c>
      <c r="H311" s="59" t="s">
        <v>774</v>
      </c>
      <c r="I311" s="48">
        <v>0</v>
      </c>
      <c r="J311" s="56"/>
    </row>
    <row r="312" spans="2:10" ht="30" x14ac:dyDescent="0.2">
      <c r="B312" s="58"/>
      <c r="C312" s="57"/>
      <c r="D312" s="12" t="s">
        <v>26</v>
      </c>
      <c r="E312" s="11" t="s">
        <v>198</v>
      </c>
      <c r="F312" s="39" t="s">
        <v>314</v>
      </c>
      <c r="I312" s="48">
        <f>117506+125148</f>
        <v>242654</v>
      </c>
      <c r="J312" s="56" t="s">
        <v>773</v>
      </c>
    </row>
    <row r="313" spans="2:10" ht="30" x14ac:dyDescent="0.2">
      <c r="B313" s="58"/>
      <c r="C313" s="57"/>
      <c r="D313" s="12" t="s">
        <v>238</v>
      </c>
      <c r="E313" s="11" t="s">
        <v>198</v>
      </c>
      <c r="F313" s="39" t="s">
        <v>83</v>
      </c>
      <c r="I313" s="48">
        <f>651726+254811+99235+4122</f>
        <v>1009894</v>
      </c>
      <c r="J313" s="56" t="s">
        <v>772</v>
      </c>
    </row>
    <row r="314" spans="2:10" ht="40" x14ac:dyDescent="0.2">
      <c r="B314" s="58"/>
      <c r="C314" s="57"/>
      <c r="D314" s="12" t="s">
        <v>26</v>
      </c>
      <c r="E314" s="11" t="s">
        <v>198</v>
      </c>
      <c r="F314" s="39" t="s">
        <v>84</v>
      </c>
      <c r="G314" s="60" t="s">
        <v>771</v>
      </c>
      <c r="H314" s="59" t="s">
        <v>770</v>
      </c>
      <c r="I314" s="48">
        <v>200000</v>
      </c>
      <c r="J314" s="56" t="s">
        <v>769</v>
      </c>
    </row>
    <row r="315" spans="2:10" ht="45" x14ac:dyDescent="0.2">
      <c r="B315" s="58"/>
      <c r="C315" s="57"/>
      <c r="D315" s="12" t="s">
        <v>22</v>
      </c>
      <c r="E315" s="11" t="s">
        <v>198</v>
      </c>
      <c r="F315" s="39" t="s">
        <v>464</v>
      </c>
      <c r="I315" s="48">
        <f>212128+15000</f>
        <v>227128</v>
      </c>
      <c r="J315" s="56" t="s">
        <v>768</v>
      </c>
    </row>
    <row r="316" spans="2:10" ht="53" x14ac:dyDescent="0.2">
      <c r="B316" s="58"/>
      <c r="C316" s="57"/>
      <c r="D316" s="47" t="s">
        <v>239</v>
      </c>
      <c r="E316" s="11" t="s">
        <v>198</v>
      </c>
      <c r="F316" s="39" t="s">
        <v>85</v>
      </c>
      <c r="G316" s="60" t="s">
        <v>767</v>
      </c>
      <c r="H316" s="59" t="s">
        <v>766</v>
      </c>
      <c r="I316" s="48">
        <f>370908+106373</f>
        <v>477281</v>
      </c>
      <c r="J316" s="56" t="s">
        <v>765</v>
      </c>
    </row>
    <row r="317" spans="2:10" ht="45" x14ac:dyDescent="0.2">
      <c r="B317" s="58"/>
      <c r="C317" s="57"/>
      <c r="D317" s="12" t="s">
        <v>221</v>
      </c>
      <c r="E317" s="11" t="s">
        <v>198</v>
      </c>
      <c r="F317" s="39" t="s">
        <v>317</v>
      </c>
      <c r="I317" s="48">
        <f>32900+189239+356142+198285+356142+198284</f>
        <v>1330992</v>
      </c>
      <c r="J317" s="56" t="s">
        <v>764</v>
      </c>
    </row>
    <row r="318" spans="2:10" ht="45" x14ac:dyDescent="0.2">
      <c r="B318" s="58"/>
      <c r="C318" s="57"/>
      <c r="D318" s="47" t="s">
        <v>240</v>
      </c>
      <c r="E318" s="11" t="s">
        <v>198</v>
      </c>
      <c r="F318" s="39" t="s">
        <v>86</v>
      </c>
      <c r="G318" s="60" t="s">
        <v>763</v>
      </c>
      <c r="H318" s="59" t="s">
        <v>762</v>
      </c>
      <c r="I318" s="48">
        <f>555000+303375+136032+89408</f>
        <v>1083815</v>
      </c>
      <c r="J318" s="56" t="s">
        <v>761</v>
      </c>
    </row>
    <row r="319" spans="2:10" ht="30" x14ac:dyDescent="0.2">
      <c r="B319" s="58"/>
      <c r="C319" s="57"/>
      <c r="D319" s="47" t="s">
        <v>33</v>
      </c>
      <c r="E319" s="11" t="s">
        <v>198</v>
      </c>
      <c r="F319" s="39" t="s">
        <v>465</v>
      </c>
      <c r="G319" s="60" t="s">
        <v>760</v>
      </c>
      <c r="H319" s="59" t="s">
        <v>759</v>
      </c>
      <c r="I319" s="48">
        <f>139200+10000</f>
        <v>149200</v>
      </c>
      <c r="J319" s="56" t="s">
        <v>758</v>
      </c>
    </row>
    <row r="320" spans="2:10" ht="45" x14ac:dyDescent="0.2">
      <c r="B320" s="58"/>
      <c r="C320" s="57"/>
      <c r="D320" s="47" t="s">
        <v>423</v>
      </c>
      <c r="E320" s="11" t="s">
        <v>198</v>
      </c>
      <c r="F320" s="39" t="s">
        <v>466</v>
      </c>
      <c r="G320" s="94" t="s">
        <v>757</v>
      </c>
      <c r="H320" s="93" t="s">
        <v>756</v>
      </c>
      <c r="I320" s="48">
        <f>86400+6665+43200+3335+141600+10000+96000+6665</f>
        <v>393865</v>
      </c>
      <c r="J320" s="56" t="s">
        <v>755</v>
      </c>
    </row>
    <row r="321" spans="2:10" ht="40" x14ac:dyDescent="0.2">
      <c r="B321" s="58"/>
      <c r="C321" s="57"/>
      <c r="D321" s="47" t="s">
        <v>217</v>
      </c>
      <c r="E321" s="11" t="s">
        <v>198</v>
      </c>
      <c r="F321" s="39" t="s">
        <v>467</v>
      </c>
      <c r="G321" s="60" t="s">
        <v>754</v>
      </c>
      <c r="H321" s="59" t="s">
        <v>753</v>
      </c>
      <c r="I321" s="48">
        <f>129600+10000+129600+10000</f>
        <v>279200</v>
      </c>
      <c r="J321" s="56" t="s">
        <v>637</v>
      </c>
    </row>
    <row r="322" spans="2:10" ht="40" x14ac:dyDescent="0.2">
      <c r="B322" s="58"/>
      <c r="C322" s="57"/>
      <c r="D322" s="47" t="s">
        <v>216</v>
      </c>
      <c r="E322" s="11" t="s">
        <v>198</v>
      </c>
      <c r="F322" s="39" t="s">
        <v>468</v>
      </c>
      <c r="I322" s="48">
        <f>129600+10000+144000+10000</f>
        <v>293600</v>
      </c>
      <c r="J322" s="56" t="s">
        <v>752</v>
      </c>
    </row>
    <row r="323" spans="2:10" ht="45" x14ac:dyDescent="0.2">
      <c r="B323" s="58"/>
      <c r="C323" s="57"/>
      <c r="D323" s="47" t="s">
        <v>216</v>
      </c>
      <c r="E323" s="11" t="s">
        <v>198</v>
      </c>
      <c r="F323" s="39" t="s">
        <v>469</v>
      </c>
      <c r="G323" s="79" t="s">
        <v>751</v>
      </c>
      <c r="I323" s="48">
        <f>410496+677300+219648+319419</f>
        <v>1626863</v>
      </c>
      <c r="J323" s="56" t="s">
        <v>750</v>
      </c>
    </row>
    <row r="324" spans="2:10" ht="30" x14ac:dyDescent="0.2">
      <c r="B324" s="58"/>
      <c r="C324" s="57"/>
      <c r="D324" s="47" t="s">
        <v>291</v>
      </c>
      <c r="E324" s="11" t="s">
        <v>198</v>
      </c>
      <c r="F324" s="39" t="s">
        <v>470</v>
      </c>
      <c r="G324" s="92" t="s">
        <v>749</v>
      </c>
      <c r="H324" s="91" t="s">
        <v>748</v>
      </c>
      <c r="I324" s="48">
        <f>72000+1000+144000+10000+72000+5000</f>
        <v>304000</v>
      </c>
      <c r="J324" s="56" t="s">
        <v>747</v>
      </c>
    </row>
    <row r="325" spans="2:10" ht="30" x14ac:dyDescent="0.2">
      <c r="B325" s="58"/>
      <c r="C325" s="57"/>
      <c r="D325" s="47" t="s">
        <v>399</v>
      </c>
      <c r="E325" s="11" t="s">
        <v>198</v>
      </c>
      <c r="F325" s="39" t="s">
        <v>471</v>
      </c>
      <c r="I325" s="48">
        <f>189213+10000+144000+8333</f>
        <v>351546</v>
      </c>
      <c r="J325" s="56" t="s">
        <v>746</v>
      </c>
    </row>
    <row r="326" spans="2:10" ht="45" x14ac:dyDescent="0.2">
      <c r="B326" s="58"/>
      <c r="C326" s="57"/>
      <c r="D326" s="47" t="s">
        <v>217</v>
      </c>
      <c r="E326" s="11" t="s">
        <v>198</v>
      </c>
      <c r="F326" s="39" t="s">
        <v>472</v>
      </c>
      <c r="G326" s="87" t="s">
        <v>745</v>
      </c>
      <c r="H326" s="51" t="s">
        <v>744</v>
      </c>
      <c r="I326" s="48">
        <f>129600+10000+129600+10000+143147+10000</f>
        <v>432347</v>
      </c>
      <c r="J326" s="56" t="s">
        <v>743</v>
      </c>
    </row>
    <row r="327" spans="2:10" ht="40" x14ac:dyDescent="0.2">
      <c r="B327" s="58"/>
      <c r="C327" s="57"/>
      <c r="D327" s="47" t="s">
        <v>218</v>
      </c>
      <c r="E327" s="11" t="s">
        <v>198</v>
      </c>
      <c r="F327" s="39" t="s">
        <v>473</v>
      </c>
      <c r="G327" s="90" t="s">
        <v>742</v>
      </c>
      <c r="H327" s="89" t="s">
        <v>741</v>
      </c>
      <c r="I327" s="48">
        <f>259200+20000</f>
        <v>279200</v>
      </c>
      <c r="J327" s="56" t="s">
        <v>619</v>
      </c>
    </row>
    <row r="328" spans="2:10" ht="45" x14ac:dyDescent="0.2">
      <c r="B328" s="58"/>
      <c r="C328" s="57"/>
      <c r="D328" s="47" t="s">
        <v>18</v>
      </c>
      <c r="E328" s="11" t="s">
        <v>198</v>
      </c>
      <c r="F328" s="39" t="s">
        <v>42</v>
      </c>
      <c r="G328" s="88" t="s">
        <v>740</v>
      </c>
      <c r="H328" s="51" t="s">
        <v>739</v>
      </c>
      <c r="I328" s="48">
        <f>452562+375753+499763+378905</f>
        <v>1706983</v>
      </c>
      <c r="J328" s="56" t="s">
        <v>738</v>
      </c>
    </row>
    <row r="329" spans="2:10" ht="45" x14ac:dyDescent="0.2">
      <c r="B329" s="58"/>
      <c r="C329" s="57"/>
      <c r="D329" s="39" t="s">
        <v>24</v>
      </c>
      <c r="E329" s="11" t="s">
        <v>198</v>
      </c>
      <c r="F329" s="39" t="s">
        <v>474</v>
      </c>
      <c r="I329" s="48">
        <f>259200+537240+720</f>
        <v>797160</v>
      </c>
      <c r="J329" s="56" t="s">
        <v>737</v>
      </c>
    </row>
    <row r="330" spans="2:10" ht="30" x14ac:dyDescent="0.2">
      <c r="B330" s="58"/>
      <c r="C330" s="57"/>
      <c r="D330" s="12" t="s">
        <v>280</v>
      </c>
      <c r="E330" s="11" t="s">
        <v>198</v>
      </c>
      <c r="F330" s="39" t="s">
        <v>475</v>
      </c>
      <c r="I330" s="48">
        <f>72000+5000</f>
        <v>77000</v>
      </c>
      <c r="J330" s="56" t="s">
        <v>736</v>
      </c>
    </row>
    <row r="331" spans="2:10" ht="30" x14ac:dyDescent="0.2">
      <c r="B331" s="58"/>
      <c r="C331" s="57"/>
      <c r="D331" s="12" t="s">
        <v>291</v>
      </c>
      <c r="E331" s="11" t="s">
        <v>198</v>
      </c>
      <c r="F331" s="13" t="s">
        <v>476</v>
      </c>
      <c r="I331" s="48">
        <v>350079</v>
      </c>
      <c r="J331" s="56" t="s">
        <v>735</v>
      </c>
    </row>
    <row r="332" spans="2:10" ht="30" x14ac:dyDescent="0.2">
      <c r="B332" s="58"/>
      <c r="C332" s="57"/>
      <c r="D332" s="12" t="s">
        <v>424</v>
      </c>
      <c r="E332" s="11" t="s">
        <v>198</v>
      </c>
      <c r="F332" s="39" t="s">
        <v>477</v>
      </c>
      <c r="I332" s="48">
        <v>66200</v>
      </c>
      <c r="J332" s="56" t="s">
        <v>734</v>
      </c>
    </row>
    <row r="333" spans="2:10" ht="30" x14ac:dyDescent="0.2">
      <c r="B333" s="58"/>
      <c r="C333" s="57"/>
      <c r="D333" s="47" t="s">
        <v>36</v>
      </c>
      <c r="E333" s="11" t="s">
        <v>198</v>
      </c>
      <c r="F333" s="39" t="s">
        <v>478</v>
      </c>
      <c r="G333" s="87" t="s">
        <v>733</v>
      </c>
      <c r="H333" s="86" t="s">
        <v>732</v>
      </c>
      <c r="I333" s="48">
        <f>64800+5000+259200+20000</f>
        <v>349000</v>
      </c>
      <c r="J333" s="56" t="s">
        <v>713</v>
      </c>
    </row>
    <row r="334" spans="2:10" ht="27" x14ac:dyDescent="0.2">
      <c r="B334" s="58"/>
      <c r="C334" s="57"/>
      <c r="D334" s="39" t="s">
        <v>24</v>
      </c>
      <c r="E334" s="11" t="s">
        <v>198</v>
      </c>
      <c r="F334" s="39" t="s">
        <v>327</v>
      </c>
      <c r="I334" s="48">
        <v>0</v>
      </c>
      <c r="J334" s="56"/>
    </row>
    <row r="335" spans="2:10" ht="30" x14ac:dyDescent="0.2">
      <c r="B335" s="58"/>
      <c r="C335" s="57"/>
      <c r="D335" s="39" t="s">
        <v>24</v>
      </c>
      <c r="E335" s="11" t="s">
        <v>198</v>
      </c>
      <c r="F335" s="39" t="s">
        <v>479</v>
      </c>
      <c r="G335" s="67" t="s">
        <v>731</v>
      </c>
      <c r="H335" s="66" t="s">
        <v>730</v>
      </c>
      <c r="I335" s="48">
        <f>165600+10000</f>
        <v>175600</v>
      </c>
      <c r="J335" s="56" t="s">
        <v>729</v>
      </c>
    </row>
    <row r="336" spans="2:10" ht="30" x14ac:dyDescent="0.2">
      <c r="B336" s="58"/>
      <c r="C336" s="57"/>
      <c r="D336" s="47" t="s">
        <v>216</v>
      </c>
      <c r="E336" s="11" t="s">
        <v>198</v>
      </c>
      <c r="F336" s="39" t="s">
        <v>480</v>
      </c>
      <c r="G336" s="87" t="s">
        <v>728</v>
      </c>
      <c r="H336" s="86" t="s">
        <v>727</v>
      </c>
      <c r="I336" s="48">
        <f>151200+11667+108000+8333</f>
        <v>279200</v>
      </c>
      <c r="J336" s="56" t="s">
        <v>619</v>
      </c>
    </row>
    <row r="337" spans="2:12" ht="45" x14ac:dyDescent="0.2">
      <c r="B337" s="58"/>
      <c r="C337" s="57"/>
      <c r="D337" s="47" t="s">
        <v>219</v>
      </c>
      <c r="E337" s="11" t="s">
        <v>198</v>
      </c>
      <c r="F337" s="39" t="s">
        <v>481</v>
      </c>
      <c r="G337" s="87" t="s">
        <v>726</v>
      </c>
      <c r="H337" s="86" t="s">
        <v>725</v>
      </c>
      <c r="I337" s="48">
        <f>64800+5000+21600+1660+237600+18326</f>
        <v>348986</v>
      </c>
      <c r="J337" s="56" t="s">
        <v>724</v>
      </c>
    </row>
    <row r="338" spans="2:12" ht="30" x14ac:dyDescent="0.2">
      <c r="B338" s="58"/>
      <c r="C338" s="57"/>
      <c r="D338" s="47" t="s">
        <v>400</v>
      </c>
      <c r="E338" s="11" t="s">
        <v>198</v>
      </c>
      <c r="F338" s="39" t="s">
        <v>330</v>
      </c>
      <c r="G338" s="67" t="s">
        <v>723</v>
      </c>
      <c r="H338" s="66" t="s">
        <v>722</v>
      </c>
      <c r="I338" s="48">
        <f>129600+10000+129600+10000</f>
        <v>279200</v>
      </c>
      <c r="J338" s="56" t="s">
        <v>637</v>
      </c>
    </row>
    <row r="339" spans="2:12" ht="27" x14ac:dyDescent="0.2">
      <c r="B339" s="58"/>
      <c r="C339" s="57"/>
      <c r="D339" s="47" t="s">
        <v>220</v>
      </c>
      <c r="E339" s="11" t="s">
        <v>198</v>
      </c>
      <c r="F339" s="39" t="s">
        <v>482</v>
      </c>
      <c r="G339" s="87" t="s">
        <v>721</v>
      </c>
      <c r="H339" s="86" t="s">
        <v>720</v>
      </c>
      <c r="I339" s="48">
        <v>0</v>
      </c>
      <c r="J339" s="56"/>
    </row>
    <row r="340" spans="2:12" ht="45" x14ac:dyDescent="0.2">
      <c r="B340" s="58"/>
      <c r="C340" s="57"/>
      <c r="D340" s="47" t="s">
        <v>36</v>
      </c>
      <c r="E340" s="11" t="s">
        <v>198</v>
      </c>
      <c r="F340" s="39" t="s">
        <v>483</v>
      </c>
      <c r="G340" s="67" t="s">
        <v>719</v>
      </c>
      <c r="H340" s="66" t="s">
        <v>718</v>
      </c>
      <c r="I340" s="48">
        <f>32168+43200+3335+216000+16660</f>
        <v>311363</v>
      </c>
      <c r="J340" s="56" t="s">
        <v>717</v>
      </c>
    </row>
    <row r="341" spans="2:12" ht="45" x14ac:dyDescent="0.2">
      <c r="B341" s="58"/>
      <c r="C341" s="57"/>
      <c r="D341" s="47" t="s">
        <v>231</v>
      </c>
      <c r="E341" s="11" t="s">
        <v>198</v>
      </c>
      <c r="F341" s="39" t="s">
        <v>484</v>
      </c>
      <c r="I341" s="48">
        <f>169478+10000</f>
        <v>179478</v>
      </c>
      <c r="J341" s="56" t="s">
        <v>716</v>
      </c>
    </row>
    <row r="342" spans="2:12" ht="30" x14ac:dyDescent="0.2">
      <c r="B342" s="58"/>
      <c r="C342" s="57"/>
      <c r="D342" s="12" t="s">
        <v>22</v>
      </c>
      <c r="E342" s="11" t="s">
        <v>198</v>
      </c>
      <c r="F342" s="39" t="s">
        <v>485</v>
      </c>
      <c r="G342" s="85" t="s">
        <v>715</v>
      </c>
      <c r="H342" s="84" t="s">
        <v>714</v>
      </c>
      <c r="I342" s="48">
        <f>64800+5000+194400+15000+64800+5000</f>
        <v>349000</v>
      </c>
      <c r="J342" s="56" t="s">
        <v>713</v>
      </c>
    </row>
    <row r="343" spans="2:12" ht="40" x14ac:dyDescent="0.2">
      <c r="B343" s="58"/>
      <c r="C343" s="57"/>
      <c r="D343" s="47" t="s">
        <v>401</v>
      </c>
      <c r="E343" s="11" t="s">
        <v>198</v>
      </c>
      <c r="F343" s="39" t="s">
        <v>486</v>
      </c>
      <c r="I343" s="48">
        <f>108000+8333+86400+6667</f>
        <v>209400</v>
      </c>
      <c r="J343" s="56" t="s">
        <v>666</v>
      </c>
    </row>
    <row r="344" spans="2:12" ht="30" x14ac:dyDescent="0.2">
      <c r="B344" s="58"/>
      <c r="C344" s="57"/>
      <c r="D344" s="47" t="s">
        <v>33</v>
      </c>
      <c r="E344" s="11" t="s">
        <v>198</v>
      </c>
      <c r="F344" s="39" t="s">
        <v>487</v>
      </c>
      <c r="G344" s="67" t="s">
        <v>712</v>
      </c>
      <c r="H344" s="66" t="s">
        <v>711</v>
      </c>
      <c r="I344" s="48">
        <f>129600+10000+129600+10000</f>
        <v>279200</v>
      </c>
      <c r="J344" s="56" t="s">
        <v>619</v>
      </c>
    </row>
    <row r="345" spans="2:12" ht="45" x14ac:dyDescent="0.2">
      <c r="B345" s="58"/>
      <c r="C345" s="57"/>
      <c r="D345" s="12" t="s">
        <v>221</v>
      </c>
      <c r="E345" s="11" t="s">
        <v>198</v>
      </c>
      <c r="F345" s="39" t="s">
        <v>488</v>
      </c>
      <c r="G345" s="83" t="s">
        <v>710</v>
      </c>
      <c r="H345" s="82" t="s">
        <v>709</v>
      </c>
      <c r="I345" s="48">
        <f>330560+913813</f>
        <v>1244373</v>
      </c>
      <c r="J345" s="56" t="s">
        <v>708</v>
      </c>
    </row>
    <row r="346" spans="2:12" ht="30" x14ac:dyDescent="0.2">
      <c r="B346" s="58"/>
      <c r="C346" s="57"/>
      <c r="D346" s="47" t="s">
        <v>222</v>
      </c>
      <c r="E346" s="11" t="s">
        <v>198</v>
      </c>
      <c r="F346" s="39" t="s">
        <v>489</v>
      </c>
      <c r="G346" s="81" t="s">
        <v>707</v>
      </c>
      <c r="H346" s="80" t="s">
        <v>706</v>
      </c>
      <c r="I346" s="48">
        <f>64800+5000+64800+5000+129600+10000</f>
        <v>279200</v>
      </c>
      <c r="J346" s="56" t="s">
        <v>619</v>
      </c>
    </row>
    <row r="347" spans="2:12" ht="45" x14ac:dyDescent="0.2">
      <c r="B347" s="58"/>
      <c r="C347" s="57"/>
      <c r="D347" s="47" t="s">
        <v>35</v>
      </c>
      <c r="E347" s="11" t="s">
        <v>198</v>
      </c>
      <c r="F347" s="39" t="s">
        <v>490</v>
      </c>
      <c r="G347" s="67" t="s">
        <v>705</v>
      </c>
      <c r="H347" s="66" t="s">
        <v>704</v>
      </c>
      <c r="I347" s="48">
        <f>108000+8333+129600+10000</f>
        <v>255933</v>
      </c>
      <c r="J347" s="56" t="s">
        <v>692</v>
      </c>
      <c r="L347" s="1" t="s">
        <v>703</v>
      </c>
    </row>
    <row r="348" spans="2:12" ht="45" x14ac:dyDescent="0.2">
      <c r="B348" s="58"/>
      <c r="C348" s="57"/>
      <c r="D348" s="12" t="s">
        <v>221</v>
      </c>
      <c r="E348" s="11" t="s">
        <v>198</v>
      </c>
      <c r="F348" s="39" t="s">
        <v>57</v>
      </c>
      <c r="G348" s="67" t="s">
        <v>702</v>
      </c>
      <c r="H348" s="66" t="s">
        <v>701</v>
      </c>
      <c r="I348" s="48">
        <f>404412+519358+404412+519348</f>
        <v>1847530</v>
      </c>
      <c r="J348" s="56" t="s">
        <v>700</v>
      </c>
    </row>
    <row r="349" spans="2:12" ht="45" x14ac:dyDescent="0.2">
      <c r="B349" s="58"/>
      <c r="C349" s="57"/>
      <c r="D349" s="47" t="s">
        <v>33</v>
      </c>
      <c r="E349" s="11" t="s">
        <v>198</v>
      </c>
      <c r="F349" s="39" t="s">
        <v>491</v>
      </c>
      <c r="G349" s="67" t="s">
        <v>699</v>
      </c>
      <c r="H349" s="66" t="s">
        <v>698</v>
      </c>
      <c r="I349" s="48">
        <f>108000+8333</f>
        <v>116333</v>
      </c>
      <c r="J349" s="56" t="s">
        <v>697</v>
      </c>
    </row>
    <row r="350" spans="2:12" ht="45" x14ac:dyDescent="0.2">
      <c r="B350" s="58"/>
      <c r="C350" s="57"/>
      <c r="D350" s="47" t="s">
        <v>224</v>
      </c>
      <c r="E350" s="11" t="s">
        <v>198</v>
      </c>
      <c r="F350" s="39" t="s">
        <v>492</v>
      </c>
      <c r="G350" s="67" t="s">
        <v>696</v>
      </c>
      <c r="H350" s="66" t="s">
        <v>695</v>
      </c>
      <c r="I350" s="48">
        <f>146880+10000+108000+8330</f>
        <v>273210</v>
      </c>
      <c r="J350" s="56" t="s">
        <v>694</v>
      </c>
    </row>
    <row r="351" spans="2:12" ht="45" x14ac:dyDescent="0.2">
      <c r="B351" s="58"/>
      <c r="C351" s="57"/>
      <c r="D351" s="47" t="s">
        <v>223</v>
      </c>
      <c r="E351" s="11" t="s">
        <v>198</v>
      </c>
      <c r="F351" s="39" t="s">
        <v>493</v>
      </c>
      <c r="G351" s="67" t="s">
        <v>693</v>
      </c>
      <c r="H351" s="66" t="s">
        <v>693</v>
      </c>
      <c r="I351" s="48">
        <f>129600+10000+108000+8333</f>
        <v>255933</v>
      </c>
      <c r="J351" s="56" t="s">
        <v>692</v>
      </c>
    </row>
    <row r="352" spans="2:12" ht="45" x14ac:dyDescent="0.2">
      <c r="B352" s="58"/>
      <c r="C352" s="57"/>
      <c r="D352" s="47" t="s">
        <v>33</v>
      </c>
      <c r="E352" s="11" t="s">
        <v>198</v>
      </c>
      <c r="F352" s="39" t="s">
        <v>494</v>
      </c>
      <c r="G352" s="67" t="s">
        <v>691</v>
      </c>
      <c r="H352" s="66" t="s">
        <v>691</v>
      </c>
      <c r="I352" s="48">
        <f>81219+215588+129600+215587</f>
        <v>641994</v>
      </c>
      <c r="J352" s="56" t="s">
        <v>690</v>
      </c>
    </row>
    <row r="353" spans="2:10" ht="45" x14ac:dyDescent="0.2">
      <c r="B353" s="58"/>
      <c r="C353" s="57"/>
      <c r="D353" s="47" t="s">
        <v>220</v>
      </c>
      <c r="E353" s="11" t="s">
        <v>198</v>
      </c>
      <c r="F353" s="39" t="s">
        <v>59</v>
      </c>
      <c r="G353" s="79" t="s">
        <v>689</v>
      </c>
      <c r="H353" s="78" t="s">
        <v>688</v>
      </c>
      <c r="I353" s="48">
        <f>294522+2227286</f>
        <v>2521808</v>
      </c>
      <c r="J353" s="56" t="s">
        <v>687</v>
      </c>
    </row>
    <row r="354" spans="2:10" ht="45" x14ac:dyDescent="0.2">
      <c r="B354" s="58"/>
      <c r="C354" s="57"/>
      <c r="D354" s="47" t="s">
        <v>27</v>
      </c>
      <c r="E354" s="11" t="s">
        <v>198</v>
      </c>
      <c r="F354" s="39" t="s">
        <v>495</v>
      </c>
      <c r="G354" s="65" t="s">
        <v>686</v>
      </c>
      <c r="H354" s="59" t="s">
        <v>685</v>
      </c>
      <c r="I354" s="48">
        <f>29286+2440+108525+120000+8333</f>
        <v>268584</v>
      </c>
      <c r="J354" s="56" t="s">
        <v>684</v>
      </c>
    </row>
    <row r="355" spans="2:10" ht="30" x14ac:dyDescent="0.2">
      <c r="B355" s="58"/>
      <c r="C355" s="57"/>
      <c r="D355" s="47" t="s">
        <v>228</v>
      </c>
      <c r="E355" s="11" t="s">
        <v>198</v>
      </c>
      <c r="F355" s="39" t="s">
        <v>65</v>
      </c>
      <c r="G355" s="59" t="s">
        <v>683</v>
      </c>
      <c r="H355" s="59" t="s">
        <v>682</v>
      </c>
      <c r="I355" s="48">
        <f>150000+165000</f>
        <v>315000</v>
      </c>
      <c r="J355" s="56" t="s">
        <v>681</v>
      </c>
    </row>
    <row r="356" spans="2:10" ht="30" x14ac:dyDescent="0.2">
      <c r="B356" s="58"/>
      <c r="C356" s="57"/>
      <c r="D356" s="12" t="s">
        <v>425</v>
      </c>
      <c r="E356" s="11" t="s">
        <v>198</v>
      </c>
      <c r="F356" s="39" t="s">
        <v>60</v>
      </c>
      <c r="G356" s="67" t="s">
        <v>680</v>
      </c>
      <c r="H356" s="66" t="s">
        <v>679</v>
      </c>
      <c r="I356" s="48">
        <f>58529+4516+129600+10000</f>
        <v>202645</v>
      </c>
      <c r="J356" s="56" t="s">
        <v>678</v>
      </c>
    </row>
    <row r="357" spans="2:10" ht="30" x14ac:dyDescent="0.2">
      <c r="B357" s="58"/>
      <c r="C357" s="57"/>
      <c r="D357" s="12" t="s">
        <v>25</v>
      </c>
      <c r="E357" s="11" t="s">
        <v>198</v>
      </c>
      <c r="F357" s="39" t="s">
        <v>496</v>
      </c>
      <c r="G357" s="67" t="s">
        <v>677</v>
      </c>
      <c r="H357" s="66" t="s">
        <v>676</v>
      </c>
      <c r="I357" s="48">
        <f>108000+10000</f>
        <v>118000</v>
      </c>
      <c r="J357" s="56" t="s">
        <v>657</v>
      </c>
    </row>
    <row r="358" spans="2:10" ht="30" x14ac:dyDescent="0.2">
      <c r="B358" s="58"/>
      <c r="C358" s="57"/>
      <c r="D358" s="47" t="s">
        <v>38</v>
      </c>
      <c r="E358" s="11" t="s">
        <v>198</v>
      </c>
      <c r="F358" s="39" t="s">
        <v>497</v>
      </c>
      <c r="G358" s="67" t="s">
        <v>675</v>
      </c>
      <c r="H358" s="66" t="s">
        <v>674</v>
      </c>
      <c r="I358" s="48">
        <f>21600+1666+108000+8333+108000+8333+918+66</f>
        <v>256916</v>
      </c>
      <c r="J358" s="56" t="s">
        <v>673</v>
      </c>
    </row>
    <row r="359" spans="2:10" ht="30" x14ac:dyDescent="0.2">
      <c r="B359" s="58"/>
      <c r="C359" s="57"/>
      <c r="D359" s="47" t="s">
        <v>226</v>
      </c>
      <c r="E359" s="11" t="s">
        <v>198</v>
      </c>
      <c r="F359" s="39" t="s">
        <v>498</v>
      </c>
      <c r="G359" s="67" t="s">
        <v>672</v>
      </c>
      <c r="H359" s="66" t="s">
        <v>671</v>
      </c>
      <c r="I359" s="48">
        <f>129600+10000+129600+10000</f>
        <v>279200</v>
      </c>
      <c r="J359" s="56" t="s">
        <v>670</v>
      </c>
    </row>
    <row r="360" spans="2:10" ht="30" x14ac:dyDescent="0.2">
      <c r="B360" s="58"/>
      <c r="C360" s="57"/>
      <c r="D360" s="47" t="s">
        <v>402</v>
      </c>
      <c r="E360" s="11" t="s">
        <v>198</v>
      </c>
      <c r="F360" s="39" t="s">
        <v>499</v>
      </c>
      <c r="I360" s="48">
        <f>129600+10000+165600+10000</f>
        <v>315200</v>
      </c>
      <c r="J360" s="56" t="s">
        <v>669</v>
      </c>
    </row>
    <row r="361" spans="2:10" ht="30" x14ac:dyDescent="0.2">
      <c r="B361" s="58"/>
      <c r="C361" s="57"/>
      <c r="D361" s="47" t="s">
        <v>227</v>
      </c>
      <c r="E361" s="11" t="s">
        <v>198</v>
      </c>
      <c r="F361" s="39" t="s">
        <v>64</v>
      </c>
      <c r="G361" s="67" t="s">
        <v>668</v>
      </c>
      <c r="H361" s="66" t="s">
        <v>667</v>
      </c>
      <c r="I361" s="48">
        <f>129600+10000+64800+5000</f>
        <v>209400</v>
      </c>
      <c r="J361" s="56" t="s">
        <v>666</v>
      </c>
    </row>
    <row r="362" spans="2:10" ht="30" x14ac:dyDescent="0.2">
      <c r="B362" s="58"/>
      <c r="C362" s="57"/>
      <c r="D362" s="47" t="s">
        <v>230</v>
      </c>
      <c r="E362" s="11" t="s">
        <v>198</v>
      </c>
      <c r="F362" s="39" t="s">
        <v>67</v>
      </c>
      <c r="G362" s="60" t="s">
        <v>665</v>
      </c>
      <c r="H362" s="59" t="s">
        <v>664</v>
      </c>
      <c r="I362" s="48">
        <f>129600+10000</f>
        <v>139600</v>
      </c>
      <c r="J362" s="56" t="s">
        <v>663</v>
      </c>
    </row>
    <row r="363" spans="2:10" ht="30" x14ac:dyDescent="0.2">
      <c r="B363" s="58"/>
      <c r="C363" s="57"/>
      <c r="D363" s="47" t="s">
        <v>231</v>
      </c>
      <c r="E363" s="11" t="s">
        <v>198</v>
      </c>
      <c r="F363" s="39" t="s">
        <v>68</v>
      </c>
      <c r="G363" s="65" t="s">
        <v>662</v>
      </c>
      <c r="H363" s="68" t="s">
        <v>661</v>
      </c>
      <c r="I363" s="48">
        <f>97200+191200</f>
        <v>288400</v>
      </c>
      <c r="J363" s="56" t="s">
        <v>660</v>
      </c>
    </row>
    <row r="364" spans="2:10" ht="30" x14ac:dyDescent="0.2">
      <c r="B364" s="58"/>
      <c r="C364" s="57"/>
      <c r="D364" s="47" t="s">
        <v>426</v>
      </c>
      <c r="E364" s="11" t="s">
        <v>198</v>
      </c>
      <c r="F364" s="39" t="s">
        <v>69</v>
      </c>
      <c r="G364" s="62" t="s">
        <v>659</v>
      </c>
      <c r="H364" s="61" t="s">
        <v>658</v>
      </c>
      <c r="I364" s="48">
        <f>108000+10000</f>
        <v>118000</v>
      </c>
      <c r="J364" s="56" t="s">
        <v>657</v>
      </c>
    </row>
    <row r="365" spans="2:10" ht="30" x14ac:dyDescent="0.2">
      <c r="B365" s="58"/>
      <c r="C365" s="57"/>
      <c r="D365" s="47" t="s">
        <v>225</v>
      </c>
      <c r="E365" s="11" t="s">
        <v>198</v>
      </c>
      <c r="F365" s="39" t="s">
        <v>70</v>
      </c>
      <c r="G365" s="77" t="s">
        <v>656</v>
      </c>
      <c r="H365" s="59" t="s">
        <v>655</v>
      </c>
      <c r="I365" s="48">
        <f>110090+8330</f>
        <v>118420</v>
      </c>
      <c r="J365" s="56" t="s">
        <v>654</v>
      </c>
    </row>
    <row r="366" spans="2:10" ht="30" x14ac:dyDescent="0.2">
      <c r="B366" s="58"/>
      <c r="C366" s="57"/>
      <c r="D366" s="47" t="s">
        <v>232</v>
      </c>
      <c r="E366" s="11" t="s">
        <v>198</v>
      </c>
      <c r="F366" s="39" t="s">
        <v>500</v>
      </c>
      <c r="G366" s="62" t="s">
        <v>653</v>
      </c>
      <c r="H366" s="76" t="s">
        <v>652</v>
      </c>
      <c r="I366" s="48">
        <f>136800+94340</f>
        <v>231140</v>
      </c>
      <c r="J366" s="56" t="s">
        <v>651</v>
      </c>
    </row>
    <row r="367" spans="2:10" ht="30" x14ac:dyDescent="0.2">
      <c r="B367" s="58"/>
      <c r="C367" s="57"/>
      <c r="D367" s="39" t="s">
        <v>427</v>
      </c>
      <c r="E367" s="42" t="s">
        <v>441</v>
      </c>
      <c r="F367" s="39" t="s">
        <v>501</v>
      </c>
      <c r="I367" s="15">
        <v>66215</v>
      </c>
      <c r="J367" s="56" t="s">
        <v>650</v>
      </c>
    </row>
    <row r="368" spans="2:10" ht="27" x14ac:dyDescent="0.2">
      <c r="B368" s="58"/>
      <c r="C368" s="57"/>
      <c r="D368" s="39" t="s">
        <v>18</v>
      </c>
      <c r="E368" s="42" t="s">
        <v>441</v>
      </c>
      <c r="F368" s="39" t="s">
        <v>502</v>
      </c>
      <c r="I368" s="15"/>
      <c r="J368" s="56"/>
    </row>
    <row r="369" spans="2:10" ht="27" x14ac:dyDescent="0.2">
      <c r="B369" s="58"/>
      <c r="C369" s="57"/>
      <c r="D369" s="39" t="s">
        <v>428</v>
      </c>
      <c r="E369" s="42" t="s">
        <v>203</v>
      </c>
      <c r="F369" s="39" t="s">
        <v>503</v>
      </c>
      <c r="I369" s="15"/>
      <c r="J369" s="56"/>
    </row>
    <row r="370" spans="2:10" ht="22" x14ac:dyDescent="0.2">
      <c r="B370" s="58"/>
      <c r="C370" s="57"/>
      <c r="D370" s="39" t="s">
        <v>24</v>
      </c>
      <c r="E370" s="42" t="s">
        <v>204</v>
      </c>
      <c r="F370" s="39" t="s">
        <v>148</v>
      </c>
      <c r="G370" s="75" t="s">
        <v>649</v>
      </c>
      <c r="I370" s="15"/>
      <c r="J370" s="56"/>
    </row>
    <row r="371" spans="2:10" ht="30" x14ac:dyDescent="0.2">
      <c r="B371" s="58"/>
      <c r="C371" s="57"/>
      <c r="D371" s="12" t="s">
        <v>278</v>
      </c>
      <c r="E371" s="42" t="s">
        <v>205</v>
      </c>
      <c r="F371" s="39" t="s">
        <v>150</v>
      </c>
      <c r="G371" s="60" t="s">
        <v>648</v>
      </c>
      <c r="H371" s="59" t="s">
        <v>647</v>
      </c>
      <c r="I371" s="15">
        <f>142000+16000+229500+200000</f>
        <v>587500</v>
      </c>
      <c r="J371" s="56" t="s">
        <v>646</v>
      </c>
    </row>
    <row r="372" spans="2:10" ht="27" x14ac:dyDescent="0.2">
      <c r="B372" s="58"/>
      <c r="C372" s="57"/>
      <c r="D372" s="12" t="s">
        <v>26</v>
      </c>
      <c r="E372" s="42" t="s">
        <v>205</v>
      </c>
      <c r="F372" s="39" t="s">
        <v>504</v>
      </c>
      <c r="I372" s="15"/>
      <c r="J372" s="56"/>
    </row>
    <row r="373" spans="2:10" ht="30" x14ac:dyDescent="0.2">
      <c r="B373" s="58"/>
      <c r="C373" s="57"/>
      <c r="D373" s="39" t="s">
        <v>24</v>
      </c>
      <c r="E373" s="42" t="s">
        <v>203</v>
      </c>
      <c r="F373" s="39" t="s">
        <v>505</v>
      </c>
      <c r="G373" s="59" t="s">
        <v>645</v>
      </c>
      <c r="H373" s="74" t="s">
        <v>644</v>
      </c>
      <c r="I373" s="15">
        <f>189678+266484</f>
        <v>456162</v>
      </c>
      <c r="J373" s="56" t="s">
        <v>643</v>
      </c>
    </row>
    <row r="374" spans="2:10" ht="30" x14ac:dyDescent="0.2">
      <c r="B374" s="58"/>
      <c r="C374" s="57"/>
      <c r="D374" s="47" t="s">
        <v>276</v>
      </c>
      <c r="E374" s="42" t="s">
        <v>205</v>
      </c>
      <c r="F374" s="39" t="s">
        <v>506</v>
      </c>
      <c r="G374" s="60" t="s">
        <v>642</v>
      </c>
      <c r="H374" s="59" t="s">
        <v>641</v>
      </c>
      <c r="I374" s="15">
        <f>1309000+237400</f>
        <v>1546400</v>
      </c>
      <c r="J374" s="56" t="s">
        <v>640</v>
      </c>
    </row>
    <row r="375" spans="2:10" ht="40" x14ac:dyDescent="0.2">
      <c r="B375" s="58"/>
      <c r="C375" s="57"/>
      <c r="D375" s="47" t="s">
        <v>231</v>
      </c>
      <c r="E375" s="42" t="s">
        <v>442</v>
      </c>
      <c r="F375" s="39" t="s">
        <v>507</v>
      </c>
      <c r="I375" s="15"/>
      <c r="J375" s="56"/>
    </row>
    <row r="376" spans="2:10" ht="30" x14ac:dyDescent="0.2">
      <c r="B376" s="58"/>
      <c r="C376" s="57"/>
      <c r="D376" s="39" t="s">
        <v>24</v>
      </c>
      <c r="E376" s="42" t="s">
        <v>442</v>
      </c>
      <c r="F376" s="39" t="s">
        <v>508</v>
      </c>
      <c r="G376" s="73" t="s">
        <v>639</v>
      </c>
      <c r="H376" s="59" t="s">
        <v>638</v>
      </c>
      <c r="I376" s="15">
        <f>20000+259200</f>
        <v>279200</v>
      </c>
      <c r="J376" s="56" t="s">
        <v>637</v>
      </c>
    </row>
    <row r="377" spans="2:10" ht="30" x14ac:dyDescent="0.2">
      <c r="B377" s="58"/>
      <c r="C377" s="57"/>
      <c r="D377" s="12" t="s">
        <v>26</v>
      </c>
      <c r="E377" s="42" t="s">
        <v>205</v>
      </c>
      <c r="F377" s="39" t="s">
        <v>155</v>
      </c>
      <c r="G377" s="60" t="s">
        <v>636</v>
      </c>
      <c r="H377" s="59" t="s">
        <v>635</v>
      </c>
      <c r="I377" s="15">
        <f>120000+256000+30000+117000</f>
        <v>523000</v>
      </c>
      <c r="J377" s="56" t="s">
        <v>634</v>
      </c>
    </row>
    <row r="378" spans="2:10" x14ac:dyDescent="0.2">
      <c r="B378" s="58"/>
      <c r="C378" s="57"/>
      <c r="D378" s="47" t="s">
        <v>279</v>
      </c>
      <c r="E378" s="42" t="s">
        <v>203</v>
      </c>
      <c r="F378" s="39" t="s">
        <v>509</v>
      </c>
      <c r="G378" s="70" t="s">
        <v>633</v>
      </c>
      <c r="H378" s="72" t="s">
        <v>632</v>
      </c>
      <c r="I378" s="15"/>
      <c r="J378" s="56"/>
    </row>
    <row r="379" spans="2:10" ht="27" x14ac:dyDescent="0.2">
      <c r="B379" s="58"/>
      <c r="C379" s="57"/>
      <c r="D379" s="47" t="s">
        <v>291</v>
      </c>
      <c r="E379" s="42" t="s">
        <v>441</v>
      </c>
      <c r="F379" s="39" t="s">
        <v>510</v>
      </c>
      <c r="I379" s="15">
        <f>345600+454400</f>
        <v>800000</v>
      </c>
      <c r="J379" s="56" t="s">
        <v>631</v>
      </c>
    </row>
    <row r="380" spans="2:10" x14ac:dyDescent="0.2">
      <c r="B380" s="58"/>
      <c r="C380" s="57"/>
      <c r="D380" s="39" t="s">
        <v>24</v>
      </c>
      <c r="E380" s="42" t="s">
        <v>204</v>
      </c>
      <c r="F380" s="39" t="s">
        <v>511</v>
      </c>
      <c r="I380" s="15"/>
      <c r="J380" s="56"/>
    </row>
    <row r="381" spans="2:10" ht="45" x14ac:dyDescent="0.2">
      <c r="B381" s="58"/>
      <c r="C381" s="57"/>
      <c r="D381" s="13" t="s">
        <v>280</v>
      </c>
      <c r="E381" s="42" t="s">
        <v>207</v>
      </c>
      <c r="F381" s="39" t="s">
        <v>157</v>
      </c>
      <c r="G381" s="62" t="s">
        <v>630</v>
      </c>
      <c r="H381" s="61" t="s">
        <v>629</v>
      </c>
      <c r="I381" s="15">
        <f>489600+623400+6604</f>
        <v>1119604</v>
      </c>
      <c r="J381" s="56" t="s">
        <v>628</v>
      </c>
    </row>
    <row r="382" spans="2:10" ht="30" x14ac:dyDescent="0.2">
      <c r="B382" s="58"/>
      <c r="C382" s="57"/>
      <c r="D382" s="13" t="s">
        <v>429</v>
      </c>
      <c r="E382" s="42" t="s">
        <v>205</v>
      </c>
      <c r="F382" s="39" t="s">
        <v>512</v>
      </c>
      <c r="I382" s="15">
        <f>365000+173000</f>
        <v>538000</v>
      </c>
      <c r="J382" s="56" t="s">
        <v>627</v>
      </c>
    </row>
    <row r="383" spans="2:10" ht="53" x14ac:dyDescent="0.2">
      <c r="B383" s="58"/>
      <c r="C383" s="57"/>
      <c r="D383" s="39" t="s">
        <v>281</v>
      </c>
      <c r="E383" s="42" t="s">
        <v>203</v>
      </c>
      <c r="F383" s="39" t="s">
        <v>513</v>
      </c>
      <c r="I383" s="15">
        <f>17600+259200</f>
        <v>276800</v>
      </c>
      <c r="J383" s="56" t="s">
        <v>626</v>
      </c>
    </row>
    <row r="384" spans="2:10" x14ac:dyDescent="0.2">
      <c r="B384" s="58"/>
      <c r="C384" s="57"/>
      <c r="D384" s="39" t="s">
        <v>231</v>
      </c>
      <c r="E384" s="42" t="s">
        <v>203</v>
      </c>
      <c r="F384" s="39" t="s">
        <v>514</v>
      </c>
      <c r="I384" s="15">
        <v>30000</v>
      </c>
      <c r="J384" s="56" t="s">
        <v>625</v>
      </c>
    </row>
    <row r="385" spans="2:10" ht="30" x14ac:dyDescent="0.2">
      <c r="B385" s="58"/>
      <c r="C385" s="57"/>
      <c r="D385" s="39" t="s">
        <v>282</v>
      </c>
      <c r="E385" s="42" t="s">
        <v>203</v>
      </c>
      <c r="F385" s="39" t="s">
        <v>159</v>
      </c>
      <c r="G385" s="60" t="s">
        <v>624</v>
      </c>
      <c r="H385" s="59" t="s">
        <v>623</v>
      </c>
      <c r="I385" s="15">
        <f>224000+13000</f>
        <v>237000</v>
      </c>
      <c r="J385" s="56" t="s">
        <v>622</v>
      </c>
    </row>
    <row r="386" spans="2:10" ht="27" x14ac:dyDescent="0.2">
      <c r="B386" s="58"/>
      <c r="C386" s="57"/>
      <c r="D386" s="39" t="s">
        <v>430</v>
      </c>
      <c r="E386" s="42" t="s">
        <v>442</v>
      </c>
      <c r="F386" s="39" t="s">
        <v>515</v>
      </c>
      <c r="I386" s="15"/>
      <c r="J386" s="56"/>
    </row>
    <row r="387" spans="2:10" ht="45" x14ac:dyDescent="0.2">
      <c r="B387" s="58"/>
      <c r="C387" s="57"/>
      <c r="D387" s="12" t="s">
        <v>17</v>
      </c>
      <c r="E387" s="42" t="s">
        <v>203</v>
      </c>
      <c r="F387" s="39" t="s">
        <v>516</v>
      </c>
      <c r="I387" s="15">
        <f>306432+10000+322560+10000</f>
        <v>648992</v>
      </c>
      <c r="J387" s="56" t="s">
        <v>609</v>
      </c>
    </row>
    <row r="388" spans="2:10" ht="30" x14ac:dyDescent="0.2">
      <c r="B388" s="58"/>
      <c r="C388" s="57"/>
      <c r="D388" s="39" t="s">
        <v>283</v>
      </c>
      <c r="E388" s="42" t="s">
        <v>203</v>
      </c>
      <c r="F388" s="39" t="s">
        <v>161</v>
      </c>
      <c r="G388" s="71" t="s">
        <v>621</v>
      </c>
      <c r="H388" s="59" t="s">
        <v>620</v>
      </c>
      <c r="I388" s="15">
        <f>259200+20000</f>
        <v>279200</v>
      </c>
      <c r="J388" s="56" t="s">
        <v>619</v>
      </c>
    </row>
    <row r="389" spans="2:10" x14ac:dyDescent="0.2">
      <c r="B389" s="58"/>
      <c r="C389" s="57"/>
      <c r="D389" s="39" t="s">
        <v>31</v>
      </c>
      <c r="E389" s="42" t="s">
        <v>206</v>
      </c>
      <c r="F389" s="39" t="s">
        <v>517</v>
      </c>
      <c r="G389" s="70" t="s">
        <v>618</v>
      </c>
      <c r="H389" s="69" t="s">
        <v>617</v>
      </c>
      <c r="I389" s="15"/>
      <c r="J389" s="56"/>
    </row>
    <row r="390" spans="2:10" ht="30" x14ac:dyDescent="0.2">
      <c r="B390" s="58"/>
      <c r="C390" s="57"/>
      <c r="D390" s="39" t="s">
        <v>431</v>
      </c>
      <c r="E390" s="42" t="s">
        <v>441</v>
      </c>
      <c r="F390" s="39" t="s">
        <v>518</v>
      </c>
      <c r="G390" s="67" t="s">
        <v>615</v>
      </c>
      <c r="H390" s="59" t="s">
        <v>614</v>
      </c>
      <c r="I390" s="15">
        <f>240000+340000</f>
        <v>580000</v>
      </c>
      <c r="J390" s="56" t="s">
        <v>616</v>
      </c>
    </row>
    <row r="391" spans="2:10" ht="30" x14ac:dyDescent="0.2">
      <c r="B391" s="58"/>
      <c r="C391" s="57"/>
      <c r="D391" s="39" t="s">
        <v>284</v>
      </c>
      <c r="E391" s="42" t="s">
        <v>207</v>
      </c>
      <c r="F391" s="39" t="s">
        <v>163</v>
      </c>
      <c r="G391" s="67" t="s">
        <v>615</v>
      </c>
      <c r="H391" s="59" t="s">
        <v>614</v>
      </c>
      <c r="I391" s="15">
        <f>240000+120000</f>
        <v>360000</v>
      </c>
      <c r="J391" s="56" t="s">
        <v>613</v>
      </c>
    </row>
    <row r="392" spans="2:10" ht="30" x14ac:dyDescent="0.2">
      <c r="B392" s="58"/>
      <c r="C392" s="57"/>
      <c r="D392" s="39" t="s">
        <v>32</v>
      </c>
      <c r="E392" s="42" t="s">
        <v>206</v>
      </c>
      <c r="F392" s="39" t="s">
        <v>519</v>
      </c>
      <c r="I392" s="15">
        <f>230400+15000</f>
        <v>245400</v>
      </c>
      <c r="J392" s="56" t="s">
        <v>612</v>
      </c>
    </row>
    <row r="393" spans="2:10" ht="45" x14ac:dyDescent="0.2">
      <c r="B393" s="58"/>
      <c r="C393" s="57"/>
      <c r="D393" s="12" t="s">
        <v>17</v>
      </c>
      <c r="E393" s="42" t="s">
        <v>203</v>
      </c>
      <c r="F393" s="39" t="s">
        <v>165</v>
      </c>
      <c r="G393" s="67" t="s">
        <v>611</v>
      </c>
      <c r="H393" s="59" t="s">
        <v>610</v>
      </c>
      <c r="I393" s="15">
        <f>306432+10000+322560+10000</f>
        <v>648992</v>
      </c>
      <c r="J393" s="56" t="s">
        <v>609</v>
      </c>
    </row>
    <row r="394" spans="2:10" ht="40" x14ac:dyDescent="0.2">
      <c r="B394" s="58"/>
      <c r="C394" s="57"/>
      <c r="D394" s="39" t="s">
        <v>285</v>
      </c>
      <c r="E394" s="42" t="s">
        <v>443</v>
      </c>
      <c r="F394" s="39" t="s">
        <v>164</v>
      </c>
      <c r="G394" s="67" t="s">
        <v>608</v>
      </c>
      <c r="H394" s="59" t="s">
        <v>607</v>
      </c>
      <c r="I394" s="15">
        <f>168000+332000</f>
        <v>500000</v>
      </c>
      <c r="J394" s="56" t="s">
        <v>584</v>
      </c>
    </row>
    <row r="395" spans="2:10" ht="30" x14ac:dyDescent="0.2">
      <c r="B395" s="58"/>
      <c r="C395" s="57"/>
      <c r="D395" s="47" t="s">
        <v>218</v>
      </c>
      <c r="E395" s="42" t="s">
        <v>205</v>
      </c>
      <c r="F395" s="39" t="s">
        <v>166</v>
      </c>
      <c r="G395" s="67" t="s">
        <v>606</v>
      </c>
      <c r="H395" s="59" t="s">
        <v>605</v>
      </c>
      <c r="I395" s="15">
        <v>19910</v>
      </c>
      <c r="J395" s="56" t="s">
        <v>604</v>
      </c>
    </row>
    <row r="396" spans="2:10" ht="45" x14ac:dyDescent="0.2">
      <c r="B396" s="58"/>
      <c r="C396" s="57"/>
      <c r="D396" s="39" t="s">
        <v>286</v>
      </c>
      <c r="E396" s="42" t="s">
        <v>441</v>
      </c>
      <c r="F396" s="39" t="s">
        <v>167</v>
      </c>
      <c r="G396" s="67" t="s">
        <v>603</v>
      </c>
      <c r="H396" s="59" t="s">
        <v>602</v>
      </c>
      <c r="I396" s="15">
        <f>441600+38333</f>
        <v>479933</v>
      </c>
      <c r="J396" s="56" t="s">
        <v>601</v>
      </c>
    </row>
    <row r="397" spans="2:10" ht="30" x14ac:dyDescent="0.2">
      <c r="B397" s="58"/>
      <c r="C397" s="57"/>
      <c r="D397" s="13" t="s">
        <v>287</v>
      </c>
      <c r="E397" s="42" t="s">
        <v>444</v>
      </c>
      <c r="F397" s="39" t="s">
        <v>520</v>
      </c>
      <c r="G397" s="60" t="s">
        <v>600</v>
      </c>
      <c r="H397" s="59" t="s">
        <v>599</v>
      </c>
      <c r="I397" s="15">
        <f>168000+10000+132400+10000</f>
        <v>320400</v>
      </c>
      <c r="J397" s="56" t="s">
        <v>598</v>
      </c>
    </row>
    <row r="398" spans="2:10" x14ac:dyDescent="0.2">
      <c r="B398" s="58"/>
      <c r="C398" s="57"/>
      <c r="D398" s="47" t="s">
        <v>432</v>
      </c>
      <c r="E398" s="42" t="s">
        <v>206</v>
      </c>
      <c r="F398" s="39" t="s">
        <v>521</v>
      </c>
      <c r="I398" s="15"/>
      <c r="J398" s="56"/>
    </row>
    <row r="399" spans="2:10" ht="28" x14ac:dyDescent="0.2">
      <c r="B399" s="58"/>
      <c r="C399" s="57"/>
      <c r="D399" s="47" t="s">
        <v>38</v>
      </c>
      <c r="E399" s="42" t="s">
        <v>205</v>
      </c>
      <c r="F399" s="39" t="s">
        <v>168</v>
      </c>
      <c r="G399" s="62" t="s">
        <v>597</v>
      </c>
      <c r="H399" s="59" t="s">
        <v>596</v>
      </c>
      <c r="I399" s="15"/>
      <c r="J399" s="56"/>
    </row>
    <row r="400" spans="2:10" ht="30" x14ac:dyDescent="0.2">
      <c r="B400" s="58"/>
      <c r="C400" s="57"/>
      <c r="D400" s="47" t="s">
        <v>280</v>
      </c>
      <c r="E400" s="42" t="s">
        <v>203</v>
      </c>
      <c r="F400" s="39" t="s">
        <v>170</v>
      </c>
      <c r="G400" s="67" t="s">
        <v>595</v>
      </c>
      <c r="H400" s="66" t="s">
        <v>594</v>
      </c>
      <c r="I400" s="15">
        <f>149040+11500</f>
        <v>160540</v>
      </c>
      <c r="J400" s="56" t="s">
        <v>593</v>
      </c>
    </row>
    <row r="401" spans="2:10" ht="30" x14ac:dyDescent="0.2">
      <c r="B401" s="58"/>
      <c r="C401" s="57"/>
      <c r="D401" s="47" t="s">
        <v>216</v>
      </c>
      <c r="E401" s="42" t="s">
        <v>203</v>
      </c>
      <c r="F401" s="39" t="s">
        <v>171</v>
      </c>
      <c r="G401" s="67" t="s">
        <v>592</v>
      </c>
      <c r="H401" s="66" t="s">
        <v>591</v>
      </c>
      <c r="I401" s="15">
        <f>259200+20000+940</f>
        <v>280140</v>
      </c>
      <c r="J401" s="56" t="s">
        <v>590</v>
      </c>
    </row>
    <row r="402" spans="2:10" ht="27" x14ac:dyDescent="0.2">
      <c r="B402" s="58"/>
      <c r="C402" s="57"/>
      <c r="D402" s="39" t="s">
        <v>24</v>
      </c>
      <c r="E402" s="42" t="s">
        <v>209</v>
      </c>
      <c r="F402" s="39" t="s">
        <v>172</v>
      </c>
      <c r="G402" s="60" t="s">
        <v>589</v>
      </c>
      <c r="H402" s="59" t="s">
        <v>588</v>
      </c>
      <c r="I402" s="15">
        <f>259200+740800</f>
        <v>1000000</v>
      </c>
      <c r="J402" s="56" t="s">
        <v>587</v>
      </c>
    </row>
    <row r="403" spans="2:10" ht="27" x14ac:dyDescent="0.2">
      <c r="B403" s="58"/>
      <c r="C403" s="57"/>
      <c r="D403" s="47" t="s">
        <v>288</v>
      </c>
      <c r="E403" s="42" t="s">
        <v>441</v>
      </c>
      <c r="F403" s="39" t="s">
        <v>173</v>
      </c>
      <c r="G403" s="62" t="s">
        <v>586</v>
      </c>
      <c r="H403" s="59" t="s">
        <v>585</v>
      </c>
      <c r="I403" s="15">
        <f>172800+327200</f>
        <v>500000</v>
      </c>
      <c r="J403" s="56" t="s">
        <v>584</v>
      </c>
    </row>
    <row r="404" spans="2:10" ht="45" x14ac:dyDescent="0.2">
      <c r="B404" s="58"/>
      <c r="C404" s="57"/>
      <c r="D404" s="47" t="s">
        <v>289</v>
      </c>
      <c r="E404" s="42" t="s">
        <v>441</v>
      </c>
      <c r="F404" s="39" t="s">
        <v>174</v>
      </c>
      <c r="G404" s="62" t="s">
        <v>583</v>
      </c>
      <c r="H404" s="68">
        <v>41613</v>
      </c>
      <c r="I404" s="15">
        <f>230400+137390</f>
        <v>367790</v>
      </c>
      <c r="J404" s="56" t="s">
        <v>582</v>
      </c>
    </row>
    <row r="405" spans="2:10" ht="45" x14ac:dyDescent="0.2">
      <c r="B405" s="58"/>
      <c r="C405" s="57"/>
      <c r="D405" s="12" t="s">
        <v>22</v>
      </c>
      <c r="E405" s="42" t="s">
        <v>441</v>
      </c>
      <c r="F405" s="39" t="s">
        <v>373</v>
      </c>
      <c r="I405" s="15">
        <f>158760+5000+158760</f>
        <v>322520</v>
      </c>
      <c r="J405" s="56" t="s">
        <v>581</v>
      </c>
    </row>
    <row r="406" spans="2:10" ht="45" x14ac:dyDescent="0.2">
      <c r="B406" s="58"/>
      <c r="C406" s="57"/>
      <c r="D406" s="12" t="s">
        <v>290</v>
      </c>
      <c r="E406" s="42" t="s">
        <v>203</v>
      </c>
      <c r="F406" s="39" t="s">
        <v>522</v>
      </c>
      <c r="G406" s="67" t="s">
        <v>580</v>
      </c>
      <c r="H406" s="66" t="s">
        <v>579</v>
      </c>
      <c r="I406" s="15">
        <f>288639+22544</f>
        <v>311183</v>
      </c>
      <c r="J406" s="56" t="s">
        <v>578</v>
      </c>
    </row>
    <row r="407" spans="2:10" ht="45" x14ac:dyDescent="0.2">
      <c r="B407" s="58"/>
      <c r="C407" s="57"/>
      <c r="D407" s="12" t="s">
        <v>217</v>
      </c>
      <c r="E407" s="42" t="s">
        <v>199</v>
      </c>
      <c r="F407" s="39" t="s">
        <v>385</v>
      </c>
      <c r="I407" s="48">
        <f>168538+80000</f>
        <v>248538</v>
      </c>
      <c r="J407" s="56" t="s">
        <v>577</v>
      </c>
    </row>
    <row r="408" spans="2:10" ht="45" x14ac:dyDescent="0.2">
      <c r="B408" s="58"/>
      <c r="C408" s="57"/>
      <c r="D408" s="13" t="s">
        <v>433</v>
      </c>
      <c r="E408" s="42" t="s">
        <v>199</v>
      </c>
      <c r="F408" s="39" t="s">
        <v>523</v>
      </c>
      <c r="I408" s="48">
        <f>157668+22650</f>
        <v>180318</v>
      </c>
      <c r="J408" s="56" t="s">
        <v>576</v>
      </c>
    </row>
    <row r="409" spans="2:10" ht="27" x14ac:dyDescent="0.2">
      <c r="B409" s="58"/>
      <c r="C409" s="57"/>
      <c r="D409" s="39" t="s">
        <v>434</v>
      </c>
      <c r="E409" s="42" t="s">
        <v>199</v>
      </c>
      <c r="F409" s="39" t="s">
        <v>524</v>
      </c>
      <c r="I409" s="48"/>
      <c r="J409" s="56"/>
    </row>
    <row r="410" spans="2:10" ht="27" x14ac:dyDescent="0.2">
      <c r="B410" s="58"/>
      <c r="C410" s="57"/>
      <c r="D410" s="12" t="s">
        <v>19</v>
      </c>
      <c r="E410" s="42" t="s">
        <v>199</v>
      </c>
      <c r="F410" s="39" t="s">
        <v>117</v>
      </c>
      <c r="G410" s="65" t="s">
        <v>575</v>
      </c>
      <c r="H410" s="59" t="s">
        <v>574</v>
      </c>
      <c r="I410" s="48"/>
      <c r="J410" s="56"/>
    </row>
    <row r="411" spans="2:10" ht="30" x14ac:dyDescent="0.2">
      <c r="B411" s="58"/>
      <c r="C411" s="57"/>
      <c r="D411" s="47" t="s">
        <v>435</v>
      </c>
      <c r="E411" s="42" t="s">
        <v>199</v>
      </c>
      <c r="F411" s="39" t="s">
        <v>525</v>
      </c>
      <c r="I411" s="48">
        <f>193144+100000+37500</f>
        <v>330644</v>
      </c>
      <c r="J411" s="56" t="s">
        <v>573</v>
      </c>
    </row>
    <row r="412" spans="2:10" ht="40" x14ac:dyDescent="0.2">
      <c r="B412" s="58"/>
      <c r="C412" s="57"/>
      <c r="D412" s="47" t="s">
        <v>414</v>
      </c>
      <c r="E412" s="42" t="s">
        <v>199</v>
      </c>
      <c r="F412" s="39" t="s">
        <v>386</v>
      </c>
      <c r="I412" s="48">
        <f>174048+100000</f>
        <v>274048</v>
      </c>
      <c r="J412" s="56" t="s">
        <v>572</v>
      </c>
    </row>
    <row r="413" spans="2:10" ht="40" x14ac:dyDescent="0.2">
      <c r="B413" s="58"/>
      <c r="C413" s="57"/>
      <c r="D413" s="47" t="s">
        <v>436</v>
      </c>
      <c r="E413" s="42" t="s">
        <v>199</v>
      </c>
      <c r="F413" s="39" t="s">
        <v>526</v>
      </c>
      <c r="I413" s="48"/>
      <c r="J413" s="56"/>
    </row>
    <row r="414" spans="2:10" ht="40" x14ac:dyDescent="0.2">
      <c r="B414" s="58"/>
      <c r="C414" s="57"/>
      <c r="D414" s="47" t="s">
        <v>415</v>
      </c>
      <c r="E414" s="42" t="s">
        <v>199</v>
      </c>
      <c r="F414" s="39" t="s">
        <v>387</v>
      </c>
      <c r="I414" s="48">
        <v>11049</v>
      </c>
      <c r="J414" s="56" t="s">
        <v>571</v>
      </c>
    </row>
    <row r="415" spans="2:10" ht="45" x14ac:dyDescent="0.2">
      <c r="B415" s="58"/>
      <c r="C415" s="57"/>
      <c r="D415" s="47" t="s">
        <v>437</v>
      </c>
      <c r="E415" s="42" t="s">
        <v>199</v>
      </c>
      <c r="F415" s="39" t="s">
        <v>527</v>
      </c>
      <c r="I415" s="48">
        <f>226533+70000</f>
        <v>296533</v>
      </c>
      <c r="J415" s="56" t="s">
        <v>570</v>
      </c>
    </row>
    <row r="416" spans="2:10" ht="40" x14ac:dyDescent="0.2">
      <c r="B416" s="58"/>
      <c r="C416" s="57"/>
      <c r="D416" s="47" t="s">
        <v>216</v>
      </c>
      <c r="E416" s="42" t="s">
        <v>199</v>
      </c>
      <c r="F416" s="39" t="s">
        <v>528</v>
      </c>
      <c r="I416" s="48">
        <f>225066+100000</f>
        <v>325066</v>
      </c>
      <c r="J416" s="56" t="s">
        <v>569</v>
      </c>
    </row>
    <row r="417" spans="2:10" ht="30" x14ac:dyDescent="0.2">
      <c r="B417" s="58"/>
      <c r="C417" s="57"/>
      <c r="D417" s="47" t="s">
        <v>438</v>
      </c>
      <c r="E417" s="42" t="s">
        <v>199</v>
      </c>
      <c r="F417" s="39" t="s">
        <v>529</v>
      </c>
      <c r="I417" s="48">
        <f>198000+26060</f>
        <v>224060</v>
      </c>
      <c r="J417" s="56" t="s">
        <v>568</v>
      </c>
    </row>
    <row r="418" spans="2:10" ht="30" x14ac:dyDescent="0.2">
      <c r="B418" s="58"/>
      <c r="C418" s="57"/>
      <c r="D418" s="47" t="s">
        <v>416</v>
      </c>
      <c r="E418" s="42" t="s">
        <v>199</v>
      </c>
      <c r="F418" s="39" t="s">
        <v>388</v>
      </c>
      <c r="I418" s="48">
        <f>219531+100000</f>
        <v>319531</v>
      </c>
      <c r="J418" s="56" t="s">
        <v>567</v>
      </c>
    </row>
    <row r="419" spans="2:10" ht="40" x14ac:dyDescent="0.2">
      <c r="B419" s="58"/>
      <c r="C419" s="57"/>
      <c r="D419" s="47" t="s">
        <v>18</v>
      </c>
      <c r="E419" s="42" t="s">
        <v>199</v>
      </c>
      <c r="F419" s="39" t="s">
        <v>389</v>
      </c>
      <c r="I419" s="48">
        <f>195695+100000</f>
        <v>295695</v>
      </c>
      <c r="J419" s="56" t="s">
        <v>566</v>
      </c>
    </row>
    <row r="420" spans="2:10" ht="30" x14ac:dyDescent="0.2">
      <c r="B420" s="58"/>
      <c r="C420" s="57"/>
      <c r="D420" s="47" t="s">
        <v>38</v>
      </c>
      <c r="E420" s="42" t="s">
        <v>199</v>
      </c>
      <c r="F420" s="39" t="s">
        <v>417</v>
      </c>
      <c r="I420" s="48">
        <f>209467+100000+198000+100000</f>
        <v>607467</v>
      </c>
      <c r="J420" s="56" t="s">
        <v>565</v>
      </c>
    </row>
    <row r="421" spans="2:10" ht="45" x14ac:dyDescent="0.2">
      <c r="B421" s="58"/>
      <c r="C421" s="57"/>
      <c r="D421" s="47" t="s">
        <v>257</v>
      </c>
      <c r="E421" s="42" t="s">
        <v>199</v>
      </c>
      <c r="F421" s="39" t="s">
        <v>118</v>
      </c>
      <c r="G421" s="60" t="s">
        <v>564</v>
      </c>
      <c r="H421" s="59" t="s">
        <v>563</v>
      </c>
      <c r="I421" s="48">
        <f>230499+100000</f>
        <v>330499</v>
      </c>
      <c r="J421" s="56" t="s">
        <v>562</v>
      </c>
    </row>
    <row r="422" spans="2:10" x14ac:dyDescent="0.2">
      <c r="B422" s="58"/>
      <c r="C422" s="57"/>
      <c r="D422" s="12" t="s">
        <v>291</v>
      </c>
      <c r="E422" s="42" t="s">
        <v>199</v>
      </c>
      <c r="F422" s="39" t="s">
        <v>391</v>
      </c>
      <c r="I422" s="48"/>
      <c r="J422" s="56"/>
    </row>
    <row r="423" spans="2:10" ht="30" x14ac:dyDescent="0.2">
      <c r="B423" s="58"/>
      <c r="C423" s="57"/>
      <c r="D423" s="47" t="s">
        <v>258</v>
      </c>
      <c r="E423" s="42" t="s">
        <v>199</v>
      </c>
      <c r="F423" s="39" t="s">
        <v>119</v>
      </c>
      <c r="G423" s="64" t="s">
        <v>561</v>
      </c>
      <c r="H423" s="59" t="s">
        <v>560</v>
      </c>
      <c r="I423" s="48">
        <f>734</f>
        <v>734</v>
      </c>
      <c r="J423" s="56" t="s">
        <v>559</v>
      </c>
    </row>
    <row r="424" spans="2:10" ht="27" x14ac:dyDescent="0.2">
      <c r="B424" s="58"/>
      <c r="C424" s="57"/>
      <c r="D424" s="47" t="s">
        <v>439</v>
      </c>
      <c r="E424" s="42" t="s">
        <v>199</v>
      </c>
      <c r="F424" s="39" t="s">
        <v>418</v>
      </c>
      <c r="I424" s="48">
        <v>60000</v>
      </c>
      <c r="J424" s="56" t="s">
        <v>558</v>
      </c>
    </row>
    <row r="425" spans="2:10" ht="27" x14ac:dyDescent="0.2">
      <c r="B425" s="58"/>
      <c r="C425" s="57"/>
      <c r="D425" s="47" t="s">
        <v>259</v>
      </c>
      <c r="E425" s="42" t="s">
        <v>199</v>
      </c>
      <c r="F425" s="39" t="s">
        <v>120</v>
      </c>
      <c r="G425" s="64" t="s">
        <v>557</v>
      </c>
      <c r="H425" s="59" t="s">
        <v>556</v>
      </c>
      <c r="I425" s="48"/>
      <c r="J425" s="56"/>
    </row>
    <row r="426" spans="2:10" ht="40" x14ac:dyDescent="0.2">
      <c r="B426" s="58"/>
      <c r="C426" s="57"/>
      <c r="D426" s="47" t="s">
        <v>38</v>
      </c>
      <c r="E426" s="42" t="s">
        <v>199</v>
      </c>
      <c r="F426" s="39" t="s">
        <v>121</v>
      </c>
      <c r="G426" s="64" t="s">
        <v>555</v>
      </c>
      <c r="H426" s="59" t="s">
        <v>554</v>
      </c>
      <c r="I426" s="48">
        <f>192000+100000</f>
        <v>292000</v>
      </c>
      <c r="J426" s="56" t="s">
        <v>553</v>
      </c>
    </row>
    <row r="427" spans="2:10" ht="27" x14ac:dyDescent="0.2">
      <c r="B427" s="58"/>
      <c r="C427" s="57"/>
      <c r="D427" s="47" t="s">
        <v>35</v>
      </c>
      <c r="E427" s="42" t="s">
        <v>199</v>
      </c>
      <c r="F427" s="39" t="s">
        <v>419</v>
      </c>
      <c r="I427" s="48"/>
      <c r="J427" s="56"/>
    </row>
    <row r="428" spans="2:10" ht="30" x14ac:dyDescent="0.2">
      <c r="B428" s="58"/>
      <c r="C428" s="57"/>
      <c r="D428" s="47" t="s">
        <v>260</v>
      </c>
      <c r="E428" s="42" t="s">
        <v>199</v>
      </c>
      <c r="F428" s="39" t="s">
        <v>122</v>
      </c>
      <c r="G428" s="62" t="s">
        <v>552</v>
      </c>
      <c r="H428" s="59" t="s">
        <v>551</v>
      </c>
      <c r="I428" s="48">
        <f>116000+150000+100000</f>
        <v>366000</v>
      </c>
      <c r="J428" s="56" t="s">
        <v>550</v>
      </c>
    </row>
    <row r="429" spans="2:10" ht="30" x14ac:dyDescent="0.2">
      <c r="B429" s="58"/>
      <c r="C429" s="57"/>
      <c r="D429" s="47" t="s">
        <v>35</v>
      </c>
      <c r="E429" s="42" t="s">
        <v>199</v>
      </c>
      <c r="F429" s="39" t="s">
        <v>123</v>
      </c>
      <c r="G429" s="62" t="s">
        <v>549</v>
      </c>
      <c r="H429" s="59" t="s">
        <v>535</v>
      </c>
      <c r="I429" s="48">
        <v>216000</v>
      </c>
      <c r="J429" s="56" t="s">
        <v>548</v>
      </c>
    </row>
    <row r="430" spans="2:10" ht="40" x14ac:dyDescent="0.2">
      <c r="B430" s="58"/>
      <c r="C430" s="57"/>
      <c r="D430" s="47" t="s">
        <v>28</v>
      </c>
      <c r="E430" s="42" t="s">
        <v>199</v>
      </c>
      <c r="F430" s="39" t="s">
        <v>124</v>
      </c>
      <c r="G430" s="62" t="s">
        <v>547</v>
      </c>
      <c r="H430" s="59" t="s">
        <v>535</v>
      </c>
      <c r="I430" s="48">
        <v>300000</v>
      </c>
      <c r="J430" s="56" t="s">
        <v>546</v>
      </c>
    </row>
    <row r="431" spans="2:10" ht="40" x14ac:dyDescent="0.2">
      <c r="B431" s="58"/>
      <c r="C431" s="57"/>
      <c r="D431" s="47" t="s">
        <v>440</v>
      </c>
      <c r="E431" s="42" t="s">
        <v>199</v>
      </c>
      <c r="F431" s="39" t="s">
        <v>125</v>
      </c>
      <c r="G431" s="63" t="s">
        <v>545</v>
      </c>
      <c r="H431" s="59" t="s">
        <v>535</v>
      </c>
      <c r="I431" s="48">
        <f>176000+30000</f>
        <v>206000</v>
      </c>
      <c r="J431" s="56" t="s">
        <v>544</v>
      </c>
    </row>
    <row r="432" spans="2:10" ht="30" x14ac:dyDescent="0.2">
      <c r="B432" s="58"/>
      <c r="C432" s="57"/>
      <c r="D432" s="47" t="s">
        <v>33</v>
      </c>
      <c r="E432" s="42" t="s">
        <v>199</v>
      </c>
      <c r="F432" s="39" t="s">
        <v>126</v>
      </c>
      <c r="G432" s="63" t="s">
        <v>543</v>
      </c>
      <c r="H432" s="59" t="s">
        <v>542</v>
      </c>
      <c r="I432" s="48">
        <f>216000+100000</f>
        <v>316000</v>
      </c>
      <c r="J432" s="56" t="s">
        <v>541</v>
      </c>
    </row>
    <row r="433" spans="2:15" ht="30" x14ac:dyDescent="0.2">
      <c r="B433" s="58"/>
      <c r="C433" s="57"/>
      <c r="D433" s="47" t="s">
        <v>261</v>
      </c>
      <c r="E433" s="42" t="s">
        <v>199</v>
      </c>
      <c r="F433" s="39" t="s">
        <v>127</v>
      </c>
      <c r="G433" s="63" t="s">
        <v>540</v>
      </c>
      <c r="H433" s="59" t="s">
        <v>539</v>
      </c>
      <c r="I433" s="48">
        <f>216000+150000+50000+2398</f>
        <v>418398</v>
      </c>
      <c r="J433" s="56" t="s">
        <v>538</v>
      </c>
      <c r="O433" s="1" t="s">
        <v>537</v>
      </c>
    </row>
    <row r="434" spans="2:15" ht="45" x14ac:dyDescent="0.2">
      <c r="B434" s="58"/>
      <c r="C434" s="57"/>
      <c r="D434" s="47" t="s">
        <v>262</v>
      </c>
      <c r="E434" s="42" t="s">
        <v>199</v>
      </c>
      <c r="F434" s="39" t="s">
        <v>128</v>
      </c>
      <c r="G434" s="62" t="s">
        <v>536</v>
      </c>
      <c r="H434" s="61" t="s">
        <v>535</v>
      </c>
      <c r="I434" s="48">
        <f>430839+100000</f>
        <v>530839</v>
      </c>
      <c r="J434" s="56" t="s">
        <v>534</v>
      </c>
    </row>
    <row r="435" spans="2:15" ht="53" x14ac:dyDescent="0.2">
      <c r="B435" s="58"/>
      <c r="C435" s="57"/>
      <c r="D435" s="12" t="s">
        <v>29</v>
      </c>
      <c r="E435" s="42" t="s">
        <v>201</v>
      </c>
      <c r="F435" s="39" t="s">
        <v>420</v>
      </c>
      <c r="G435" s="60" t="s">
        <v>533</v>
      </c>
      <c r="H435" s="59" t="s">
        <v>532</v>
      </c>
      <c r="I435" s="48"/>
      <c r="J435" s="56"/>
    </row>
    <row r="436" spans="2:15" ht="53" x14ac:dyDescent="0.2">
      <c r="B436" s="58"/>
      <c r="C436" s="57"/>
      <c r="D436" s="13" t="s">
        <v>275</v>
      </c>
      <c r="E436" s="42" t="s">
        <v>201</v>
      </c>
      <c r="F436" s="39" t="s">
        <v>143</v>
      </c>
      <c r="I436" s="15"/>
      <c r="J436" s="56"/>
    </row>
    <row r="437" spans="2:15" ht="53" x14ac:dyDescent="0.2">
      <c r="B437" s="58"/>
      <c r="C437" s="57"/>
      <c r="D437" s="39" t="s">
        <v>277</v>
      </c>
      <c r="E437" s="42" t="s">
        <v>201</v>
      </c>
      <c r="F437" s="39" t="s">
        <v>145</v>
      </c>
      <c r="I437" s="15"/>
      <c r="J437" s="56"/>
    </row>
    <row r="438" spans="2:15" ht="53" x14ac:dyDescent="0.2">
      <c r="B438" s="58"/>
      <c r="C438" s="57"/>
      <c r="D438" s="12" t="s">
        <v>29</v>
      </c>
      <c r="E438" s="42" t="s">
        <v>201</v>
      </c>
      <c r="F438" s="39" t="s">
        <v>146</v>
      </c>
      <c r="I438" s="15"/>
      <c r="J438" s="56"/>
    </row>
    <row r="439" spans="2:15" ht="53" x14ac:dyDescent="0.2">
      <c r="B439" s="58"/>
      <c r="C439" s="57"/>
      <c r="D439" s="12" t="s">
        <v>30</v>
      </c>
      <c r="E439" s="42" t="s">
        <v>201</v>
      </c>
      <c r="F439" s="39" t="s">
        <v>151</v>
      </c>
      <c r="I439" s="15"/>
      <c r="J439" s="56"/>
    </row>
    <row r="440" spans="2:15" ht="45" x14ac:dyDescent="0.2">
      <c r="B440" s="58"/>
      <c r="C440" s="57"/>
      <c r="D440" s="47" t="s">
        <v>18</v>
      </c>
      <c r="E440" s="42" t="s">
        <v>445</v>
      </c>
      <c r="F440" s="39" t="s">
        <v>15</v>
      </c>
      <c r="I440" s="15">
        <v>376175</v>
      </c>
      <c r="J440" s="56" t="s">
        <v>531</v>
      </c>
    </row>
    <row r="441" spans="2:15" x14ac:dyDescent="0.2">
      <c r="B441" s="58"/>
      <c r="C441" s="57"/>
      <c r="D441" s="13" t="s">
        <v>287</v>
      </c>
      <c r="E441" s="10" t="s">
        <v>446</v>
      </c>
      <c r="F441" s="9" t="s">
        <v>421</v>
      </c>
      <c r="I441" s="15"/>
      <c r="J441" s="56"/>
    </row>
    <row r="442" spans="2:15" ht="45" x14ac:dyDescent="0.2">
      <c r="B442" s="58"/>
      <c r="C442" s="57"/>
      <c r="D442" s="14" t="s">
        <v>18</v>
      </c>
      <c r="E442" s="10" t="s">
        <v>34</v>
      </c>
      <c r="F442" s="9" t="s">
        <v>15</v>
      </c>
      <c r="I442" s="15">
        <v>376175</v>
      </c>
      <c r="J442" s="56" t="s">
        <v>530</v>
      </c>
    </row>
    <row r="443" spans="2:15" x14ac:dyDescent="0.2">
      <c r="G443" s="55"/>
      <c r="H443" s="54"/>
    </row>
  </sheetData>
  <mergeCells count="7">
    <mergeCell ref="C286:C442"/>
    <mergeCell ref="B286:B442"/>
    <mergeCell ref="B1:I1"/>
    <mergeCell ref="C3:C160"/>
    <mergeCell ref="B3:B160"/>
    <mergeCell ref="C161:C285"/>
    <mergeCell ref="B161:B285"/>
  </mergeCells>
  <conditionalFormatting sqref="E3:E160">
    <cfRule type="duplicateValues" dxfId="0" priority="1"/>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dc:creator>
  <cp:lastModifiedBy>Microsoft Office User</cp:lastModifiedBy>
  <dcterms:created xsi:type="dcterms:W3CDTF">2016-10-14T10:25:43Z</dcterms:created>
  <dcterms:modified xsi:type="dcterms:W3CDTF">2016-12-23T18:34:48Z</dcterms:modified>
</cp:coreProperties>
</file>